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9440" windowHeight="7875" tabRatio="806" activeTab="8"/>
  </bookViews>
  <sheets>
    <sheet name="タイトル" sheetId="1" r:id="rId1"/>
    <sheet name="名簿入力" sheetId="2" r:id="rId2"/>
    <sheet name="内容入力" sheetId="3" r:id="rId3"/>
    <sheet name="選手用" sheetId="4" r:id="rId4"/>
    <sheet name="選手用（所属長）" sheetId="5" r:id="rId5"/>
    <sheet name="スタッフ用" sheetId="6" r:id="rId6"/>
    <sheet name="印刷用名簿" sheetId="7" r:id="rId7"/>
    <sheet name="1日実施要項" sheetId="8" r:id="rId8"/>
    <sheet name="2日間実施要項" sheetId="9" r:id="rId9"/>
    <sheet name="メンバー表" sheetId="10" r:id="rId10"/>
    <sheet name="トレセン報告書" sheetId="11" r:id="rId11"/>
  </sheets>
  <definedNames>
    <definedName name="_xlnm.Print_Area" localSheetId="7">'1日実施要項'!$A$1:$K$49</definedName>
    <definedName name="_xlnm.Print_Area" localSheetId="8">'2日間実施要項'!$A$1:$K$49</definedName>
    <definedName name="_xlnm.Print_Area" localSheetId="5">'スタッフ用'!$D$1:$W$47</definedName>
    <definedName name="_xlnm.Print_Area" localSheetId="10">'トレセン報告書'!$N$1:$Y$56</definedName>
    <definedName name="_xlnm.Print_Area" localSheetId="9">'メンバー表'!$Q$1:$AB$56</definedName>
    <definedName name="_xlnm.Print_Area" localSheetId="6">'印刷用名簿'!$A$1:$I$42</definedName>
    <definedName name="_xlnm.Print_Area" localSheetId="3">'選手用'!$M$5:$V$51</definedName>
    <definedName name="_xlnm.Print_Area" localSheetId="4">'選手用（所属長）'!$M$5:$V$51</definedName>
  </definedNames>
  <calcPr fullCalcOnLoad="1"/>
</workbook>
</file>

<file path=xl/sharedStrings.xml><?xml version="1.0" encoding="utf-8"?>
<sst xmlns="http://schemas.openxmlformats.org/spreadsheetml/2006/main" count="506" uniqueCount="227">
  <si>
    <t>保護者各位</t>
  </si>
  <si>
    <t>差出人役職</t>
  </si>
  <si>
    <t>差出人氏名</t>
  </si>
  <si>
    <t>差出人所属</t>
  </si>
  <si>
    <t>公印の有無</t>
  </si>
  <si>
    <t>時候の挨拶</t>
  </si>
  <si>
    <t>内容</t>
  </si>
  <si>
    <t>について</t>
  </si>
  <si>
    <t>皆様におかれましてはますますご健勝のこととお慶び申し上げます。</t>
  </si>
  <si>
    <t>　厳冬の候、</t>
  </si>
  <si>
    <t>　晩冬の候、</t>
  </si>
  <si>
    <t>　早春の候、</t>
  </si>
  <si>
    <t>　陽春の候、</t>
  </si>
  <si>
    <t>　新緑の候、</t>
  </si>
  <si>
    <t>　初夏の候、</t>
  </si>
  <si>
    <t>　盛夏の候、</t>
  </si>
  <si>
    <t>　残暑の候、</t>
  </si>
  <si>
    <t>　初秋の候、</t>
  </si>
  <si>
    <t>　仲秋の候、</t>
  </si>
  <si>
    <t>　晩秋の候、</t>
  </si>
  <si>
    <t>　初冬の候、</t>
  </si>
  <si>
    <t>記</t>
  </si>
  <si>
    <t>会場</t>
  </si>
  <si>
    <t>指導者</t>
  </si>
  <si>
    <t>　日頃より本協会の活動に対しましてご理解・ご協力いただき、厚く御礼申し上げます。</t>
  </si>
  <si>
    <t>日　時</t>
  </si>
  <si>
    <t>会　場</t>
  </si>
  <si>
    <t>内　容</t>
  </si>
  <si>
    <t>対　象</t>
  </si>
  <si>
    <t>１．</t>
  </si>
  <si>
    <t>２．</t>
  </si>
  <si>
    <t>３．</t>
  </si>
  <si>
    <t>４．</t>
  </si>
  <si>
    <t>５．</t>
  </si>
  <si>
    <t>～</t>
  </si>
  <si>
    <t>実施期日</t>
  </si>
  <si>
    <t>集合時刻</t>
  </si>
  <si>
    <t>６．</t>
  </si>
  <si>
    <t>参加経費</t>
  </si>
  <si>
    <t>対象</t>
  </si>
  <si>
    <t>（但し）</t>
  </si>
  <si>
    <t>円</t>
  </si>
  <si>
    <t>（</t>
  </si>
  <si>
    <t>）</t>
  </si>
  <si>
    <t>として</t>
  </si>
  <si>
    <t>承諾書宛名</t>
  </si>
  <si>
    <t>担当：</t>
  </si>
  <si>
    <t>連絡担当者</t>
  </si>
  <si>
    <t>連絡担当者所属</t>
  </si>
  <si>
    <t>様</t>
  </si>
  <si>
    <t>について、参加を承諾します。</t>
  </si>
  <si>
    <t>誓約内容</t>
  </si>
  <si>
    <t>活動中の負傷、事故等について、責任の追及は一切いたしません。</t>
  </si>
  <si>
    <t>活動中の負傷、事故等について、応急処置を行うのみで依存ありません。</t>
  </si>
  <si>
    <t>選手氏名</t>
  </si>
  <si>
    <t>保護者氏名</t>
  </si>
  <si>
    <t>印</t>
  </si>
  <si>
    <t>緊急連絡先</t>
  </si>
  <si>
    <t>住　　所</t>
  </si>
  <si>
    <t>選手登録番号</t>
  </si>
  <si>
    <t>その他承諾書記入事項</t>
  </si>
  <si>
    <t>　さて、標記の件につきまして下記の通り開催いたします。</t>
  </si>
  <si>
    <t>各所属長　殿</t>
  </si>
  <si>
    <t>スタッフ名簿</t>
  </si>
  <si>
    <t>　様の派遣につきまして特段のご配慮を賜りますようお願いいたします。</t>
  </si>
  <si>
    <t>　つきましては、貴所属の　</t>
  </si>
  <si>
    <t>様</t>
  </si>
  <si>
    <t>入力番号</t>
  </si>
  <si>
    <t>生徒</t>
  </si>
  <si>
    <t>生徒（別紙名簿）</t>
  </si>
  <si>
    <t>各所属長</t>
  </si>
  <si>
    <t>選手名簿</t>
  </si>
  <si>
    <t>　つきましては、貴所属　</t>
  </si>
  <si>
    <t>生徒</t>
  </si>
  <si>
    <t>生徒（別紙名簿）</t>
  </si>
  <si>
    <t>　の参加につきまして特段のご配慮を賜りますようお願いいたします。</t>
  </si>
  <si>
    <t>印刷選手番号</t>
  </si>
  <si>
    <t>氏名</t>
  </si>
  <si>
    <t>所属</t>
  </si>
  <si>
    <t>名簿番号入力</t>
  </si>
  <si>
    <t>君</t>
  </si>
  <si>
    <t>氏名</t>
  </si>
  <si>
    <t>所属</t>
  </si>
  <si>
    <t>氏名検索</t>
  </si>
  <si>
    <t>所属検索</t>
  </si>
  <si>
    <t>検索番号</t>
  </si>
  <si>
    <t>入力項目</t>
  </si>
  <si>
    <t>入力欄</t>
  </si>
  <si>
    <t>宿泊の場合2日目の解散時刻</t>
  </si>
  <si>
    <t>解散時刻（1日開催の場合）</t>
  </si>
  <si>
    <t>会長</t>
  </si>
  <si>
    <t>スタッフ番号</t>
  </si>
  <si>
    <t>　つきましては、ご子息　</t>
  </si>
  <si>
    <t>の参加につきまして特段のご配慮を賜りますようお願いいたします。</t>
  </si>
  <si>
    <t xml:space="preserve"> </t>
  </si>
  <si>
    <t>通信欄</t>
  </si>
  <si>
    <t>使用方法</t>
  </si>
  <si>
    <t>１．入力（すでに入力されている場合は印刷へ）</t>
  </si>
  <si>
    <t>２．印刷</t>
  </si>
  <si>
    <t>（１）選手用は名簿番号、選手番号を入力して印刷</t>
  </si>
  <si>
    <t>（２）スタッフ用はスタッフ番号を入力して印刷</t>
  </si>
  <si>
    <t>（３）名簿は名簿番号を入力して印刷</t>
  </si>
  <si>
    <t>　・　「開催月等」の欄は名簿のタイトルとなります</t>
  </si>
  <si>
    <t>（１）名簿入力には選手名簿、所属チームを入力</t>
  </si>
  <si>
    <t>（２）内容入力には必要事項を入力</t>
  </si>
  <si>
    <t>　・　リストがある場合、リストから選択してください</t>
  </si>
  <si>
    <t>入力シート</t>
  </si>
  <si>
    <t>やれるのか、おい！　１，２，３　ダァーッ！！</t>
  </si>
  <si>
    <t>元気があれば何でもできる！！</t>
  </si>
  <si>
    <t>期日</t>
  </si>
  <si>
    <t>集合</t>
  </si>
  <si>
    <t>解散</t>
  </si>
  <si>
    <t>LEN関数</t>
  </si>
  <si>
    <t>日程</t>
  </si>
  <si>
    <t>日程（初日）</t>
  </si>
  <si>
    <t>時刻</t>
  </si>
  <si>
    <t>行動</t>
  </si>
  <si>
    <t>指導者</t>
  </si>
  <si>
    <t>その他</t>
  </si>
  <si>
    <t>目的</t>
  </si>
  <si>
    <t>主催</t>
  </si>
  <si>
    <t>主催者</t>
  </si>
  <si>
    <t>LEN関数</t>
  </si>
  <si>
    <t>①　</t>
  </si>
  <si>
    <t>②　</t>
  </si>
  <si>
    <t>③　</t>
  </si>
  <si>
    <t>④　</t>
  </si>
  <si>
    <t>⑤　</t>
  </si>
  <si>
    <t>⑥　</t>
  </si>
  <si>
    <t>⑦　</t>
  </si>
  <si>
    <t>⑧　</t>
  </si>
  <si>
    <t>⑨　</t>
  </si>
  <si>
    <t>⑩　</t>
  </si>
  <si>
    <t>連絡責任者</t>
  </si>
  <si>
    <t>(　</t>
  </si>
  <si>
    <t>　)</t>
  </si>
  <si>
    <t>　：</t>
  </si>
  <si>
    <t>実施要項タイトル</t>
  </si>
  <si>
    <t>持ち物</t>
  </si>
  <si>
    <t>参加経費</t>
  </si>
  <si>
    <t>平成22年度</t>
  </si>
  <si>
    <t>実施要項</t>
  </si>
  <si>
    <t>ポジション</t>
  </si>
  <si>
    <t>ポジション検索</t>
  </si>
  <si>
    <t>名簿タイトル</t>
  </si>
  <si>
    <t>名簿番号</t>
  </si>
  <si>
    <t>所属</t>
  </si>
  <si>
    <t>氏名検索</t>
  </si>
  <si>
    <t>所属検索</t>
  </si>
  <si>
    <t>岩手県サッカー協会</t>
  </si>
  <si>
    <t>山本　光男</t>
  </si>
  <si>
    <t>派遣依頼表題</t>
  </si>
  <si>
    <t>Ｐｏｇ</t>
  </si>
  <si>
    <t>氏名</t>
  </si>
  <si>
    <t>所属</t>
  </si>
  <si>
    <t>判断</t>
  </si>
  <si>
    <t>テクニック</t>
  </si>
  <si>
    <t>スピード</t>
  </si>
  <si>
    <t>状況把握</t>
  </si>
  <si>
    <t>運動量</t>
  </si>
  <si>
    <t>身体能力</t>
  </si>
  <si>
    <t>パスの質</t>
  </si>
  <si>
    <t>県トレセン招集選手（特徴）</t>
  </si>
  <si>
    <t>順位</t>
  </si>
  <si>
    <t>特徴</t>
  </si>
  <si>
    <t>→</t>
  </si>
  <si>
    <t>選手番号入力</t>
  </si>
  <si>
    <t>背番号</t>
  </si>
  <si>
    <t>pog</t>
  </si>
  <si>
    <t>備考</t>
  </si>
  <si>
    <t>地区</t>
  </si>
  <si>
    <t>※　Ａの評価のみ記入してください。</t>
  </si>
  <si>
    <t>対戦カードとスコア</t>
  </si>
  <si>
    <t>-</t>
  </si>
  <si>
    <t>チーム名</t>
  </si>
  <si>
    <t>合計</t>
  </si>
  <si>
    <t>前後半スコア</t>
  </si>
  <si>
    <t>メンバー表及び選手報告書様式</t>
  </si>
  <si>
    <t>実施日</t>
  </si>
  <si>
    <t>（４）メンバー表は必要事項を入力して印刷・報告</t>
  </si>
  <si>
    <t>（３）メンバー表には対戦相手等を入力してください</t>
  </si>
  <si>
    <t>岩手県フットボールセンター様　　トレセンマッチ報告</t>
  </si>
  <si>
    <t>公印なし</t>
  </si>
  <si>
    <t>職場</t>
  </si>
  <si>
    <t>派遣依頼及び開催要項に反映される内容</t>
  </si>
  <si>
    <t>開催要項に反映される内容</t>
  </si>
  <si>
    <t>所属</t>
  </si>
  <si>
    <t>（宿泊の場合2日目）</t>
  </si>
  <si>
    <t>○○地区トレセン選手名簿</t>
  </si>
  <si>
    <t>記載の必要なし</t>
  </si>
  <si>
    <t>岩手県フットボールセンターＦＡＸ　０１９－６８１－８０１２</t>
  </si>
  <si>
    <t>有料</t>
  </si>
  <si>
    <t>飲料代、保険料</t>
  </si>
  <si>
    <t>スパイク、すね当て、ユニフォーム、サッカーパンツ（白）、ソックス（白）、1日目の昼食、タオル、雨具、着替え、洗面用具、サッカーノート、筆記用具、学習道具、参加費、承諾書、保険証のコピー洗、濯用ネット、常備薬等必要なもの</t>
  </si>
  <si>
    <t>トレーニングしっかりとした上で、コンディションを整えて参加すること。</t>
  </si>
  <si>
    <t>けがをして参加できなくなった場合は速やかに連絡責任者に申し出ること。</t>
  </si>
  <si>
    <t>天候や相手チームの状況により、会場や試合時間が変更になる場合があります。</t>
  </si>
  <si>
    <t>現地でのあいさつや礼儀など、行動のマナーには十分留意すること。</t>
  </si>
  <si>
    <t>その他
（38文字以上の文章は、フォントサイズが縮小されて要項に反映されます）</t>
  </si>
  <si>
    <t>試合では、県トレセンへの推薦選手を選考します。高い意識を持ち、参加すること。</t>
  </si>
  <si>
    <t>県トレセン推薦選手（特徴）</t>
  </si>
  <si>
    <t>県トレセン推薦選手の選手番号を、左の表より入力</t>
  </si>
  <si>
    <t>岩手県フットボールセンター様　　トレセン実施報告</t>
  </si>
  <si>
    <t>トレーニング内容</t>
  </si>
  <si>
    <t>Tr-1</t>
  </si>
  <si>
    <t>W-up</t>
  </si>
  <si>
    <t>Tr-2</t>
  </si>
  <si>
    <t>GAME</t>
  </si>
  <si>
    <t>U-13</t>
  </si>
  <si>
    <t>北上</t>
  </si>
  <si>
    <t>岩手県トレセンマッチへの参加</t>
  </si>
  <si>
    <t>携帯電話</t>
  </si>
  <si>
    <t>この欄は入力可能です。</t>
  </si>
  <si>
    <t>このソフトに関するお問い合わせ先</t>
  </si>
  <si>
    <t>和賀西中学校　柴田尚生</t>
  </si>
  <si>
    <t>携帯電話</t>
  </si>
  <si>
    <t>０９０－４８８０－０８８１</t>
  </si>
  <si>
    <t>E-mail</t>
  </si>
  <si>
    <t>naokishibata1976@yahoo.co.jp</t>
  </si>
  <si>
    <t>柴田尚生</t>
  </si>
  <si>
    <t>↓「名簿入力」シート参照</t>
  </si>
  <si>
    <t>↑下表の左側の番号参照</t>
  </si>
  <si>
    <t>←43番目には、選手名を直接入力することができます。</t>
  </si>
  <si>
    <t>←43番目には、選手名を直接入力することができます</t>
  </si>
  <si>
    <t>↓下の表参照</t>
  </si>
  <si>
    <t>和賀西中学校</t>
  </si>
  <si>
    <t>　※左の欄に氏名、
　右の欄に所属を入力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</si>
</sst>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h:mm;@"/>
    <numFmt numFmtId="178" formatCode="h&quot;時&quot;mm&quot;分&quot;;@"/>
    <numFmt numFmtId="179" formatCode="m&quot;月&quot;d&quot;日&quot;;@"/>
  </numFmts>
  <fonts count="97">
    <font>
      <sz val="11"/>
      <color theme="1"/>
      <name val="Calibri"/>
      <family val="3"/>
    </font>
    <font>
      <sz val="11"/>
      <color indexed="8"/>
      <name val="ＭＳ Ｐゴシック"/>
      <family val="3"/>
    </font>
    <font>
      <sz val="6"/>
      <name val="ＭＳ Ｐゴシック"/>
      <family val="3"/>
    </font>
    <font>
      <sz val="11"/>
      <name val="ＭＳ Ｐ明朝"/>
      <family val="1"/>
    </font>
    <font>
      <sz val="11"/>
      <name val="ＭＳ Ｐゴシック"/>
      <family val="3"/>
    </font>
    <font>
      <sz val="14"/>
      <name val="ＭＳ Ｐゴシック"/>
      <family val="3"/>
    </font>
    <font>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indexed="8"/>
      <name val="ＭＳ Ｐ明朝"/>
      <family val="1"/>
    </font>
    <font>
      <sz val="10"/>
      <color indexed="8"/>
      <name val="ＭＳ Ｐ明朝"/>
      <family val="1"/>
    </font>
    <font>
      <sz val="16"/>
      <color indexed="8"/>
      <name val="ＭＳ Ｐ明朝"/>
      <family val="1"/>
    </font>
    <font>
      <sz val="8"/>
      <color indexed="8"/>
      <name val="ＭＳ Ｐ明朝"/>
      <family val="1"/>
    </font>
    <font>
      <sz val="14"/>
      <color indexed="8"/>
      <name val="ＭＳ Ｐ明朝"/>
      <family val="1"/>
    </font>
    <font>
      <sz val="18"/>
      <color indexed="8"/>
      <name val="ＭＳ Ｐゴシック"/>
      <family val="3"/>
    </font>
    <font>
      <sz val="9"/>
      <color indexed="8"/>
      <name val="ＭＳ Ｐゴシック"/>
      <family val="3"/>
    </font>
    <font>
      <sz val="14"/>
      <color indexed="8"/>
      <name val="ＭＳ Ｐゴシック"/>
      <family val="3"/>
    </font>
    <font>
      <sz val="14"/>
      <color indexed="10"/>
      <name val="ＭＳ Ｐゴシック"/>
      <family val="3"/>
    </font>
    <font>
      <sz val="9"/>
      <color indexed="13"/>
      <name val="ＭＳ Ｐゴシック"/>
      <family val="3"/>
    </font>
    <font>
      <sz val="11"/>
      <color indexed="13"/>
      <name val="ＭＳ Ｐゴシック"/>
      <family val="3"/>
    </font>
    <font>
      <sz val="20"/>
      <color indexed="8"/>
      <name val="ＭＳ Ｐ明朝"/>
      <family val="1"/>
    </font>
    <font>
      <sz val="24"/>
      <color indexed="8"/>
      <name val="ＭＳ Ｐ明朝"/>
      <family val="1"/>
    </font>
    <font>
      <sz val="48"/>
      <color indexed="10"/>
      <name val="ＭＳ ゴシック"/>
      <family val="3"/>
    </font>
    <font>
      <sz val="12"/>
      <color indexed="8"/>
      <name val="ＭＳ Ｐ明朝"/>
      <family val="1"/>
    </font>
    <font>
      <sz val="9"/>
      <color indexed="8"/>
      <name val="ＭＳ Ｐ明朝"/>
      <family val="1"/>
    </font>
    <font>
      <sz val="11"/>
      <color indexed="8"/>
      <name val="ＭＳ 明朝"/>
      <family val="1"/>
    </font>
    <font>
      <sz val="36"/>
      <color indexed="8"/>
      <name val="ＭＳ 明朝"/>
      <family val="1"/>
    </font>
    <font>
      <sz val="10"/>
      <color indexed="8"/>
      <name val="ＭＳ 明朝"/>
      <family val="1"/>
    </font>
    <font>
      <sz val="22"/>
      <color indexed="8"/>
      <name val="ＭＳ 明朝"/>
      <family val="1"/>
    </font>
    <font>
      <sz val="20"/>
      <color indexed="8"/>
      <name val="ＭＳ 明朝"/>
      <family val="1"/>
    </font>
    <font>
      <sz val="11"/>
      <color indexed="10"/>
      <name val="ＭＳ 明朝"/>
      <family val="1"/>
    </font>
    <font>
      <sz val="11"/>
      <color indexed="27"/>
      <name val="ＭＳ 明朝"/>
      <family val="1"/>
    </font>
    <font>
      <sz val="10"/>
      <color indexed="8"/>
      <name val="ＭＳ Ｐゴシック"/>
      <family val="3"/>
    </font>
    <font>
      <b/>
      <sz val="300"/>
      <color indexed="8"/>
      <name val="ＭＳ Ｐゴシック"/>
      <family val="3"/>
    </font>
    <font>
      <sz val="36"/>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Calibri"/>
      <family val="3"/>
    </font>
    <font>
      <sz val="11"/>
      <color theme="1"/>
      <name val="ＭＳ Ｐ明朝"/>
      <family val="1"/>
    </font>
    <font>
      <sz val="10"/>
      <color theme="1"/>
      <name val="ＭＳ Ｐ明朝"/>
      <family val="1"/>
    </font>
    <font>
      <sz val="16"/>
      <color theme="1"/>
      <name val="ＭＳ Ｐ明朝"/>
      <family val="1"/>
    </font>
    <font>
      <sz val="8"/>
      <color theme="1"/>
      <name val="ＭＳ Ｐ明朝"/>
      <family val="1"/>
    </font>
    <font>
      <sz val="14"/>
      <color theme="1"/>
      <name val="ＭＳ Ｐ明朝"/>
      <family val="1"/>
    </font>
    <font>
      <sz val="18"/>
      <color theme="1"/>
      <name val="Calibri"/>
      <family val="3"/>
    </font>
    <font>
      <sz val="9"/>
      <color theme="1"/>
      <name val="Calibri"/>
      <family val="3"/>
    </font>
    <font>
      <sz val="11"/>
      <color theme="1"/>
      <name val="ＭＳ 明朝"/>
      <family val="1"/>
    </font>
    <font>
      <sz val="36"/>
      <color theme="1"/>
      <name val="ＭＳ 明朝"/>
      <family val="1"/>
    </font>
    <font>
      <sz val="10"/>
      <color theme="1"/>
      <name val="ＭＳ 明朝"/>
      <family val="1"/>
    </font>
    <font>
      <sz val="11"/>
      <color rgb="FFFF0000"/>
      <name val="ＭＳ 明朝"/>
      <family val="1"/>
    </font>
    <font>
      <sz val="11"/>
      <color theme="1"/>
      <name val="Cambria"/>
      <family val="3"/>
    </font>
    <font>
      <sz val="10"/>
      <color theme="1"/>
      <name val="Cambria"/>
      <family val="3"/>
    </font>
    <font>
      <sz val="14"/>
      <color theme="1"/>
      <name val="Calibri"/>
      <family val="3"/>
    </font>
    <font>
      <sz val="14"/>
      <color rgb="FFFF0000"/>
      <name val="Calibri"/>
      <family val="3"/>
    </font>
    <font>
      <sz val="11"/>
      <color rgb="FFFFFF00"/>
      <name val="Calibri"/>
      <family val="3"/>
    </font>
    <font>
      <sz val="9"/>
      <color rgb="FFFFFF00"/>
      <name val="Calibri"/>
      <family val="3"/>
    </font>
    <font>
      <sz val="20"/>
      <color theme="1"/>
      <name val="ＭＳ 明朝"/>
      <family val="1"/>
    </font>
    <font>
      <sz val="22"/>
      <color theme="1"/>
      <name val="ＭＳ 明朝"/>
      <family val="1"/>
    </font>
    <font>
      <sz val="11"/>
      <color theme="8" tint="0.7999799847602844"/>
      <name val="ＭＳ 明朝"/>
      <family val="1"/>
    </font>
    <font>
      <sz val="20"/>
      <color theme="1"/>
      <name val="ＭＳ Ｐ明朝"/>
      <family val="1"/>
    </font>
    <font>
      <sz val="24"/>
      <color theme="1"/>
      <name val="ＭＳ Ｐ明朝"/>
      <family val="1"/>
    </font>
    <font>
      <sz val="14"/>
      <color theme="1"/>
      <name val="Cambria"/>
      <family val="3"/>
    </font>
    <font>
      <sz val="9"/>
      <color theme="1"/>
      <name val="ＭＳ Ｐ明朝"/>
      <family val="1"/>
    </font>
    <font>
      <sz val="12"/>
      <color theme="1"/>
      <name val="ＭＳ Ｐ明朝"/>
      <family val="1"/>
    </font>
    <font>
      <sz val="48"/>
      <color rgb="FFFF0000"/>
      <name val="ＭＳ 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theme="8" tint="0.5999600291252136"/>
        <bgColor indexed="64"/>
      </patternFill>
    </fill>
    <fill>
      <patternFill patternType="solid">
        <fgColor rgb="FFFFFF0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right style="thick"/>
      <top style="thick"/>
      <bottom style="thick"/>
    </border>
    <border>
      <left style="thin"/>
      <right/>
      <top style="thin"/>
      <bottom style="thin"/>
    </border>
    <border>
      <left style="thin"/>
      <right style="thin"/>
      <top style="thin"/>
      <bottom/>
    </border>
    <border>
      <left/>
      <right/>
      <top style="thin"/>
      <bottom style="thin"/>
    </border>
    <border>
      <left style="double"/>
      <right/>
      <top style="thin"/>
      <bottom style="thin"/>
    </border>
    <border>
      <left/>
      <right style="double"/>
      <top style="thin"/>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style="double"/>
      <top style="thin"/>
      <bottom/>
    </border>
    <border>
      <left style="thin"/>
      <right/>
      <top style="thin"/>
      <bottom style="double"/>
    </border>
    <border>
      <left/>
      <right/>
      <top/>
      <bottom style="thin"/>
    </border>
    <border>
      <left style="thin"/>
      <right style="thin"/>
      <top/>
      <bottom style="thin"/>
    </border>
    <border>
      <left style="thick"/>
      <right/>
      <top/>
      <bottom/>
    </border>
    <border>
      <left style="thick"/>
      <right/>
      <top/>
      <bottom style="thin"/>
    </border>
    <border>
      <left/>
      <right/>
      <top style="thin"/>
      <bottom/>
    </border>
    <border>
      <left/>
      <right/>
      <top/>
      <bottom style="medium"/>
    </border>
    <border>
      <left style="thin"/>
      <right/>
      <top style="thin"/>
      <bottom/>
    </border>
    <border>
      <left/>
      <right style="thin"/>
      <top style="thin"/>
      <bottom/>
    </border>
    <border>
      <left style="thin"/>
      <right/>
      <top/>
      <bottom/>
    </border>
    <border>
      <left/>
      <right style="thin"/>
      <top/>
      <bottom/>
    </border>
    <border>
      <left style="thin"/>
      <right style="thin"/>
      <top/>
      <bottom/>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ck">
        <color rgb="FFFF0000"/>
      </left>
      <right/>
      <top/>
      <bottom style="thick">
        <color rgb="FFFF0000"/>
      </bottom>
    </border>
    <border>
      <left/>
      <right/>
      <top/>
      <bottom style="thick">
        <color rgb="FFFF0000"/>
      </bottom>
    </border>
    <border>
      <left/>
      <right style="thick">
        <color rgb="FFFF0000"/>
      </right>
      <top/>
      <bottom style="thick">
        <color rgb="FFFF0000"/>
      </bottom>
    </border>
    <border>
      <left style="thin"/>
      <right/>
      <top/>
      <bottom style="thin"/>
    </border>
    <border>
      <left/>
      <right/>
      <top/>
      <bottom style="dotted"/>
    </border>
    <border>
      <left/>
      <right style="thin"/>
      <top/>
      <bottom style="thin"/>
    </border>
    <border>
      <left/>
      <right style="thin"/>
      <top style="thin"/>
      <bottom style="thin"/>
    </border>
    <border>
      <left style="double"/>
      <right/>
      <top style="double"/>
      <bottom style="thin"/>
    </border>
    <border>
      <left/>
      <right/>
      <top style="double"/>
      <bottom style="thin"/>
    </border>
    <border>
      <left/>
      <right style="double"/>
      <top style="double"/>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ck"/>
      <right style="thick"/>
      <top style="thick"/>
      <bottom/>
    </border>
    <border>
      <left style="thick"/>
      <right style="thick"/>
      <top/>
      <bottom style="thick"/>
    </border>
    <border>
      <left>
        <color indexed="63"/>
      </left>
      <right>
        <color indexed="63"/>
      </right>
      <top>
        <color indexed="63"/>
      </top>
      <bottom style="thick"/>
    </border>
    <border>
      <left style="thick"/>
      <right/>
      <top style="thick"/>
      <bottom style="thick"/>
    </border>
    <border>
      <left/>
      <right style="thick"/>
      <top style="thick"/>
      <bottom style="thick"/>
    </border>
    <border>
      <left/>
      <right/>
      <top style="medium"/>
      <bottom/>
    </border>
    <border>
      <left style="thick"/>
      <right style="thick"/>
      <top/>
      <bottom/>
    </border>
    <border>
      <left style="medium"/>
      <right style="thin"/>
      <top style="thin"/>
      <bottom/>
    </border>
    <border>
      <left style="medium"/>
      <right style="thin"/>
      <top/>
      <bottom style="thin"/>
    </border>
    <border>
      <left style="medium"/>
      <right style="thin"/>
      <top/>
      <bottom style="medium"/>
    </border>
    <border>
      <left style="thin"/>
      <right style="thin"/>
      <top style="thin"/>
      <bottom style="medium"/>
    </border>
    <border>
      <left/>
      <right style="medium"/>
      <top style="thin"/>
      <bottom/>
    </border>
    <border>
      <left/>
      <right style="medium"/>
      <top/>
      <bottom style="thin"/>
    </border>
    <border>
      <left style="thin"/>
      <right/>
      <top/>
      <bottom style="medium"/>
    </border>
    <border>
      <left/>
      <right style="medium"/>
      <top/>
      <bottom style="medium"/>
    </border>
    <border>
      <left style="medium"/>
      <right style="thin"/>
      <top style="medium"/>
      <bottom/>
    </border>
    <border>
      <left style="thin"/>
      <right style="thin"/>
      <top style="medium"/>
      <bottom/>
    </border>
    <border>
      <left style="thin"/>
      <right/>
      <top style="medium"/>
      <bottom/>
    </border>
    <border>
      <left/>
      <right style="medium"/>
      <top style="medium"/>
      <bottom/>
    </border>
    <border>
      <left style="double"/>
      <right/>
      <top style="thin"/>
      <bottom/>
    </border>
    <border>
      <left style="double"/>
      <right/>
      <top/>
      <bottom/>
    </border>
    <border>
      <left style="double"/>
      <right/>
      <top/>
      <bottom style="thin"/>
    </border>
    <border>
      <left style="thin"/>
      <right/>
      <top/>
      <bottom style="double"/>
    </border>
    <border>
      <left/>
      <right/>
      <top/>
      <bottom style="double"/>
    </border>
    <border>
      <left style="double"/>
      <right/>
      <top/>
      <bottom style="double"/>
    </border>
    <border>
      <left/>
      <right style="thin"/>
      <top/>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4" fillId="0" borderId="0">
      <alignment vertical="center"/>
      <protection/>
    </xf>
    <xf numFmtId="0" fontId="68" fillId="32" borderId="0" applyNumberFormat="0" applyBorder="0" applyAlignment="0" applyProtection="0"/>
  </cellStyleXfs>
  <cellXfs count="449">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69" fillId="0" borderId="0" xfId="0" applyFont="1" applyBorder="1" applyAlignment="1">
      <alignment horizontal="center" vertical="center"/>
    </xf>
    <xf numFmtId="0" fontId="70" fillId="0" borderId="0" xfId="0" applyFont="1" applyAlignment="1">
      <alignment vertical="center"/>
    </xf>
    <xf numFmtId="0" fontId="70" fillId="0" borderId="0" xfId="0" applyFont="1" applyAlignment="1">
      <alignment horizontal="center" vertical="center"/>
    </xf>
    <xf numFmtId="0" fontId="70" fillId="0" borderId="10" xfId="0" applyFont="1" applyBorder="1" applyAlignment="1">
      <alignment vertical="center"/>
    </xf>
    <xf numFmtId="0" fontId="70" fillId="0" borderId="10" xfId="0" applyFont="1" applyBorder="1" applyAlignment="1">
      <alignment horizontal="center" vertical="center"/>
    </xf>
    <xf numFmtId="0" fontId="71" fillId="0" borderId="11"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shrinkToFit="1"/>
    </xf>
    <xf numFmtId="0" fontId="3" fillId="0" borderId="10"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69" fillId="0" borderId="0" xfId="0" applyFont="1" applyBorder="1" applyAlignment="1">
      <alignment vertical="center"/>
    </xf>
    <xf numFmtId="0" fontId="69" fillId="0" borderId="14" xfId="0" applyFont="1" applyBorder="1" applyAlignment="1">
      <alignment horizontal="center" vertical="center"/>
    </xf>
    <xf numFmtId="0" fontId="0" fillId="0" borderId="14" xfId="0" applyBorder="1" applyAlignment="1" applyProtection="1">
      <alignment vertical="center"/>
      <protection locked="0"/>
    </xf>
    <xf numFmtId="0" fontId="0" fillId="0" borderId="10" xfId="0" applyBorder="1" applyAlignment="1">
      <alignment horizontal="center" vertical="center" shrinkToFit="1"/>
    </xf>
    <xf numFmtId="0" fontId="70" fillId="0" borderId="11"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69" fillId="0" borderId="15" xfId="0" applyFont="1" applyBorder="1" applyAlignment="1">
      <alignment horizontal="center" vertical="center"/>
    </xf>
    <xf numFmtId="0" fontId="69" fillId="0" borderId="16" xfId="0" applyFont="1" applyBorder="1" applyAlignment="1">
      <alignment horizontal="center" vertical="center"/>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3" fillId="0" borderId="17"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72" fillId="0" borderId="24" xfId="0" applyFont="1" applyBorder="1" applyAlignment="1">
      <alignment horizontal="center" vertical="center"/>
    </xf>
    <xf numFmtId="0" fontId="70" fillId="0" borderId="24" xfId="0" applyFont="1" applyBorder="1" applyAlignment="1" applyProtection="1">
      <alignment horizontal="center" vertical="center"/>
      <protection locked="0"/>
    </xf>
    <xf numFmtId="0" fontId="70" fillId="0" borderId="25" xfId="0" applyFont="1" applyBorder="1" applyAlignment="1">
      <alignment horizontal="center" vertical="center"/>
    </xf>
    <xf numFmtId="0" fontId="72" fillId="0" borderId="26" xfId="0" applyFont="1" applyBorder="1" applyAlignment="1">
      <alignment horizontal="center" vertical="center"/>
    </xf>
    <xf numFmtId="0" fontId="72" fillId="0" borderId="0" xfId="0" applyFont="1" applyBorder="1" applyAlignment="1">
      <alignment horizontal="center" vertical="center"/>
    </xf>
    <xf numFmtId="0" fontId="72" fillId="0" borderId="27" xfId="0" applyFont="1" applyBorder="1" applyAlignment="1">
      <alignment horizontal="center" vertical="center"/>
    </xf>
    <xf numFmtId="0" fontId="73" fillId="0" borderId="25" xfId="0" applyFont="1" applyBorder="1" applyAlignment="1">
      <alignment horizontal="center" vertical="center" shrinkToFit="1"/>
    </xf>
    <xf numFmtId="0" fontId="74" fillId="0" borderId="0" xfId="0" applyFont="1" applyAlignment="1">
      <alignment vertical="center"/>
    </xf>
    <xf numFmtId="0" fontId="70" fillId="0" borderId="0" xfId="0" applyFont="1" applyAlignment="1">
      <alignment horizontal="center"/>
    </xf>
    <xf numFmtId="0" fontId="72" fillId="0" borderId="28" xfId="0" applyFont="1" applyBorder="1" applyAlignment="1" applyProtection="1">
      <alignment horizontal="center" vertical="center"/>
      <protection locked="0"/>
    </xf>
    <xf numFmtId="0" fontId="72" fillId="0" borderId="24" xfId="0" applyFont="1" applyBorder="1" applyAlignment="1" applyProtection="1">
      <alignment horizontal="center" vertical="center"/>
      <protection locked="0"/>
    </xf>
    <xf numFmtId="0" fontId="5" fillId="0" borderId="28" xfId="61" applyFont="1" applyFill="1" applyBorder="1" applyAlignment="1">
      <alignment shrinkToFit="1"/>
      <protection/>
    </xf>
    <xf numFmtId="0" fontId="5" fillId="0" borderId="29" xfId="61" applyFont="1" applyFill="1" applyBorder="1" applyAlignment="1">
      <alignment shrinkToFit="1"/>
      <protection/>
    </xf>
    <xf numFmtId="0" fontId="70" fillId="0" borderId="28" xfId="0" applyFont="1" applyBorder="1" applyAlignment="1" applyProtection="1">
      <alignment horizontal="center" vertical="center"/>
      <protection locked="0"/>
    </xf>
    <xf numFmtId="0" fontId="0" fillId="33" borderId="0" xfId="0" applyFill="1" applyAlignment="1">
      <alignment vertical="center"/>
    </xf>
    <xf numFmtId="0" fontId="75" fillId="33" borderId="0" xfId="0" applyFont="1" applyFill="1" applyBorder="1" applyAlignment="1">
      <alignment horizontal="center" vertical="center"/>
    </xf>
    <xf numFmtId="0" fontId="0" fillId="33" borderId="0" xfId="0" applyFill="1" applyBorder="1" applyAlignment="1">
      <alignment horizontal="center" vertical="center"/>
    </xf>
    <xf numFmtId="0" fontId="0" fillId="33" borderId="0" xfId="0" applyFill="1" applyBorder="1" applyAlignment="1" applyProtection="1">
      <alignment horizontal="center" vertical="center"/>
      <protection locked="0"/>
    </xf>
    <xf numFmtId="0" fontId="76" fillId="33" borderId="30" xfId="0" applyFont="1" applyFill="1" applyBorder="1" applyAlignment="1">
      <alignment vertical="center"/>
    </xf>
    <xf numFmtId="0" fontId="69" fillId="33" borderId="31" xfId="0" applyFont="1" applyFill="1" applyBorder="1" applyAlignment="1">
      <alignment horizontal="center" vertical="center"/>
    </xf>
    <xf numFmtId="0" fontId="0" fillId="33" borderId="0" xfId="0" applyFill="1" applyAlignment="1">
      <alignment horizontal="center" vertical="center"/>
    </xf>
    <xf numFmtId="0" fontId="0" fillId="33" borderId="32" xfId="0" applyFill="1" applyBorder="1" applyAlignment="1">
      <alignment vertical="center"/>
    </xf>
    <xf numFmtId="0" fontId="0" fillId="33" borderId="33" xfId="0" applyFill="1" applyBorder="1" applyAlignment="1">
      <alignment vertical="center"/>
    </xf>
    <xf numFmtId="0" fontId="0" fillId="33" borderId="13" xfId="0" applyFill="1" applyBorder="1" applyAlignment="1">
      <alignment horizontal="center" vertical="center"/>
    </xf>
    <xf numFmtId="0" fontId="0" fillId="33" borderId="34" xfId="0" applyFill="1" applyBorder="1" applyAlignment="1">
      <alignment horizontal="center" vertical="center"/>
    </xf>
    <xf numFmtId="177" fontId="0" fillId="33" borderId="0" xfId="0" applyNumberFormat="1" applyFill="1" applyBorder="1" applyAlignment="1" applyProtection="1">
      <alignment horizontal="center" vertical="center"/>
      <protection locked="0"/>
    </xf>
    <xf numFmtId="0" fontId="0" fillId="33" borderId="25" xfId="0" applyFill="1" applyBorder="1" applyAlignment="1">
      <alignment horizontal="center" vertical="center"/>
    </xf>
    <xf numFmtId="0" fontId="0" fillId="33" borderId="0" xfId="0" applyFill="1" applyBorder="1" applyAlignment="1" applyProtection="1">
      <alignment horizontal="center" vertical="center" wrapText="1"/>
      <protection locked="0"/>
    </xf>
    <xf numFmtId="0" fontId="0" fillId="33" borderId="0" xfId="0" applyFill="1" applyAlignment="1">
      <alignment vertical="center"/>
    </xf>
    <xf numFmtId="20" fontId="0" fillId="33" borderId="0" xfId="0" applyNumberFormat="1" applyFill="1" applyAlignment="1" quotePrefix="1">
      <alignment vertical="center"/>
    </xf>
    <xf numFmtId="0" fontId="0" fillId="33" borderId="0" xfId="0" applyFill="1" applyAlignment="1" quotePrefix="1">
      <alignment vertical="center"/>
    </xf>
    <xf numFmtId="0" fontId="0" fillId="33" borderId="0" xfId="0" applyFill="1" applyBorder="1" applyAlignment="1" applyProtection="1">
      <alignment vertical="center" wrapText="1"/>
      <protection locked="0"/>
    </xf>
    <xf numFmtId="0" fontId="0" fillId="33" borderId="0" xfId="0" applyFill="1" applyBorder="1" applyAlignment="1" applyProtection="1">
      <alignment vertical="center"/>
      <protection locked="0"/>
    </xf>
    <xf numFmtId="0" fontId="0" fillId="34" borderId="0" xfId="0" applyFill="1" applyAlignment="1">
      <alignment vertical="center"/>
    </xf>
    <xf numFmtId="0" fontId="0" fillId="0" borderId="0" xfId="0" applyAlignment="1" applyProtection="1">
      <alignment vertical="center"/>
      <protection/>
    </xf>
    <xf numFmtId="0" fontId="72" fillId="0" borderId="24" xfId="0" applyFont="1" applyBorder="1" applyAlignment="1">
      <alignment horizontal="center" vertical="center"/>
    </xf>
    <xf numFmtId="0" fontId="70" fillId="0" borderId="0" xfId="0" applyFont="1" applyAlignment="1">
      <alignment horizontal="center" vertical="center"/>
    </xf>
    <xf numFmtId="0" fontId="70" fillId="0" borderId="25" xfId="0" applyFont="1" applyBorder="1" applyAlignment="1">
      <alignment horizontal="center" vertical="center"/>
    </xf>
    <xf numFmtId="0" fontId="70" fillId="0" borderId="10" xfId="0" applyFont="1" applyBorder="1" applyAlignment="1">
      <alignment horizontal="center" vertical="center"/>
    </xf>
    <xf numFmtId="0" fontId="70" fillId="0" borderId="0" xfId="0" applyFont="1" applyBorder="1" applyAlignment="1">
      <alignment vertical="center" textRotation="255"/>
    </xf>
    <xf numFmtId="0" fontId="0" fillId="0" borderId="0" xfId="0" applyAlignment="1" applyProtection="1">
      <alignment vertical="center"/>
      <protection/>
    </xf>
    <xf numFmtId="0" fontId="0" fillId="34" borderId="35" xfId="0" applyFill="1" applyBorder="1" applyAlignment="1" applyProtection="1">
      <alignment vertical="center"/>
      <protection/>
    </xf>
    <xf numFmtId="0" fontId="0" fillId="34" borderId="36" xfId="0" applyFill="1" applyBorder="1" applyAlignment="1" applyProtection="1">
      <alignment vertical="center"/>
      <protection/>
    </xf>
    <xf numFmtId="0" fontId="0" fillId="34" borderId="36" xfId="0" applyFill="1" applyBorder="1" applyAlignment="1" applyProtection="1">
      <alignment vertical="center"/>
      <protection/>
    </xf>
    <xf numFmtId="0" fontId="0" fillId="34" borderId="36" xfId="0" applyFill="1" applyBorder="1" applyAlignment="1" applyProtection="1">
      <alignment horizontal="center" vertical="center"/>
      <protection/>
    </xf>
    <xf numFmtId="0" fontId="0" fillId="34" borderId="37" xfId="0" applyFill="1" applyBorder="1" applyAlignment="1" applyProtection="1">
      <alignment vertical="center"/>
      <protection/>
    </xf>
    <xf numFmtId="0" fontId="0" fillId="34" borderId="38" xfId="0" applyFill="1" applyBorder="1" applyAlignment="1" applyProtection="1">
      <alignment vertical="center"/>
      <protection/>
    </xf>
    <xf numFmtId="0" fontId="0" fillId="34" borderId="39" xfId="0" applyFill="1" applyBorder="1" applyAlignment="1" applyProtection="1">
      <alignment vertical="center"/>
      <protection/>
    </xf>
    <xf numFmtId="0" fontId="0" fillId="34" borderId="39" xfId="0" applyFill="1" applyBorder="1" applyAlignment="1" applyProtection="1">
      <alignment horizontal="center" vertical="center"/>
      <protection/>
    </xf>
    <xf numFmtId="0" fontId="56" fillId="34" borderId="39" xfId="43" applyFill="1" applyBorder="1" applyAlignment="1" applyProtection="1">
      <alignment vertical="center"/>
      <protection/>
    </xf>
    <xf numFmtId="0" fontId="0" fillId="34" borderId="40" xfId="0" applyFill="1" applyBorder="1" applyAlignment="1" applyProtection="1">
      <alignment vertical="center"/>
      <protection/>
    </xf>
    <xf numFmtId="0" fontId="70" fillId="0" borderId="0" xfId="0" applyFont="1" applyBorder="1" applyAlignment="1">
      <alignment horizontal="center" vertical="center"/>
    </xf>
    <xf numFmtId="0" fontId="70" fillId="0" borderId="0" xfId="0" applyFont="1" applyAlignment="1">
      <alignment horizontal="center" vertical="center"/>
    </xf>
    <xf numFmtId="0" fontId="74" fillId="0" borderId="0" xfId="0" applyFont="1" applyBorder="1" applyAlignment="1">
      <alignment horizontal="center" vertical="center"/>
    </xf>
    <xf numFmtId="0" fontId="77" fillId="35" borderId="0" xfId="0" applyFont="1" applyFill="1" applyAlignment="1">
      <alignment vertical="center"/>
    </xf>
    <xf numFmtId="0" fontId="77" fillId="35" borderId="0" xfId="0" applyFont="1" applyFill="1" applyBorder="1" applyAlignment="1">
      <alignment vertical="center"/>
    </xf>
    <xf numFmtId="0" fontId="77" fillId="35" borderId="0" xfId="0" applyFont="1" applyFill="1" applyBorder="1" applyAlignment="1">
      <alignment vertical="center"/>
    </xf>
    <xf numFmtId="0" fontId="78" fillId="35" borderId="0" xfId="0" applyFont="1" applyFill="1" applyBorder="1" applyAlignment="1" applyProtection="1">
      <alignment vertical="center"/>
      <protection locked="0"/>
    </xf>
    <xf numFmtId="0" fontId="77" fillId="35" borderId="0" xfId="0" applyFont="1" applyFill="1" applyBorder="1" applyAlignment="1">
      <alignment horizontal="center" vertical="center"/>
    </xf>
    <xf numFmtId="0" fontId="78" fillId="35" borderId="0" xfId="0" applyFont="1" applyFill="1" applyBorder="1" applyAlignment="1" applyProtection="1">
      <alignment horizontal="center" vertical="center"/>
      <protection locked="0"/>
    </xf>
    <xf numFmtId="0" fontId="77" fillId="35" borderId="10" xfId="0" applyFont="1" applyFill="1" applyBorder="1" applyAlignment="1">
      <alignment horizontal="center" vertical="center"/>
    </xf>
    <xf numFmtId="0" fontId="77" fillId="35" borderId="0" xfId="0" applyFont="1" applyFill="1" applyAlignment="1" quotePrefix="1">
      <alignment vertical="center"/>
    </xf>
    <xf numFmtId="0" fontId="77" fillId="35" borderId="0" xfId="0" applyFont="1" applyFill="1" applyAlignment="1">
      <alignment horizontal="center" vertical="center"/>
    </xf>
    <xf numFmtId="0" fontId="77" fillId="35" borderId="0" xfId="0" applyFont="1" applyFill="1" applyAlignment="1">
      <alignment horizontal="center" vertical="center" wrapText="1"/>
    </xf>
    <xf numFmtId="0" fontId="77" fillId="0" borderId="10" xfId="0" applyFont="1" applyFill="1" applyBorder="1" applyAlignment="1">
      <alignment horizontal="center" vertical="center"/>
    </xf>
    <xf numFmtId="0" fontId="77" fillId="0" borderId="10" xfId="0" applyFont="1" applyFill="1" applyBorder="1" applyAlignment="1">
      <alignment horizontal="center" vertical="center" shrinkToFit="1"/>
    </xf>
    <xf numFmtId="0" fontId="77" fillId="0" borderId="10" xfId="0" applyFont="1" applyFill="1" applyBorder="1" applyAlignment="1" applyProtection="1">
      <alignment horizontal="center" vertical="center"/>
      <protection locked="0"/>
    </xf>
    <xf numFmtId="0" fontId="77" fillId="34" borderId="0" xfId="0" applyFont="1" applyFill="1" applyAlignment="1">
      <alignment vertical="center"/>
    </xf>
    <xf numFmtId="0" fontId="77" fillId="34" borderId="0" xfId="0" applyFont="1" applyFill="1" applyAlignment="1" quotePrefix="1">
      <alignment horizontal="right" vertical="center"/>
    </xf>
    <xf numFmtId="177" fontId="77" fillId="34" borderId="0" xfId="0" applyNumberFormat="1" applyFont="1" applyFill="1" applyAlignment="1">
      <alignment horizontal="center" vertical="center"/>
    </xf>
    <xf numFmtId="0" fontId="77" fillId="34" borderId="0" xfId="0" applyFont="1" applyFill="1" applyAlignment="1">
      <alignment horizontal="center" vertical="center"/>
    </xf>
    <xf numFmtId="0" fontId="77" fillId="34" borderId="0" xfId="0" applyFont="1" applyFill="1" applyAlignment="1">
      <alignment horizontal="distributed" vertical="center"/>
    </xf>
    <xf numFmtId="0" fontId="77" fillId="34" borderId="0" xfId="0" applyFont="1" applyFill="1" applyAlignment="1">
      <alignment horizontal="right" vertical="center"/>
    </xf>
    <xf numFmtId="0" fontId="77" fillId="34" borderId="0" xfId="0" applyFont="1" applyFill="1" applyAlignment="1">
      <alignment vertical="center"/>
    </xf>
    <xf numFmtId="0" fontId="77" fillId="34" borderId="30" xfId="0" applyFont="1" applyFill="1" applyBorder="1" applyAlignment="1">
      <alignment horizontal="center" vertical="center"/>
    </xf>
    <xf numFmtId="0" fontId="77" fillId="34" borderId="32" xfId="0" applyFont="1" applyFill="1" applyBorder="1" applyAlignment="1">
      <alignment horizontal="right" vertical="center"/>
    </xf>
    <xf numFmtId="0" fontId="77" fillId="34" borderId="33" xfId="0" applyFont="1" applyFill="1" applyBorder="1" applyAlignment="1">
      <alignment vertical="center"/>
    </xf>
    <xf numFmtId="0" fontId="77" fillId="34" borderId="32" xfId="0" applyFont="1" applyFill="1" applyBorder="1" applyAlignment="1">
      <alignment vertical="center"/>
    </xf>
    <xf numFmtId="0" fontId="77" fillId="34" borderId="0" xfId="0" applyFont="1" applyFill="1" applyBorder="1" applyAlignment="1">
      <alignment horizontal="center" vertical="center"/>
    </xf>
    <xf numFmtId="0" fontId="77" fillId="34" borderId="41" xfId="0" applyFont="1" applyFill="1" applyBorder="1" applyAlignment="1">
      <alignment vertical="center"/>
    </xf>
    <xf numFmtId="0" fontId="77" fillId="34" borderId="24" xfId="0" applyFont="1" applyFill="1" applyBorder="1" applyAlignment="1">
      <alignment horizontal="center" vertical="center"/>
    </xf>
    <xf numFmtId="0" fontId="77" fillId="34" borderId="42" xfId="0" applyFont="1" applyFill="1" applyBorder="1" applyAlignment="1">
      <alignment vertical="center"/>
    </xf>
    <xf numFmtId="0" fontId="77" fillId="34" borderId="24" xfId="0" applyFont="1" applyFill="1" applyBorder="1" applyAlignment="1">
      <alignment vertical="center"/>
    </xf>
    <xf numFmtId="0" fontId="77" fillId="34" borderId="24" xfId="0" applyFont="1" applyFill="1" applyBorder="1" applyAlignment="1">
      <alignment vertical="center"/>
    </xf>
    <xf numFmtId="0" fontId="77" fillId="34" borderId="14" xfId="0" applyFont="1" applyFill="1" applyBorder="1" applyAlignment="1">
      <alignment vertical="center"/>
    </xf>
    <xf numFmtId="0" fontId="79" fillId="36" borderId="11" xfId="0" applyFont="1" applyFill="1" applyBorder="1" applyAlignment="1">
      <alignment horizontal="center" vertical="center"/>
    </xf>
    <xf numFmtId="0" fontId="77" fillId="3" borderId="11" xfId="0" applyFont="1" applyFill="1" applyBorder="1" applyAlignment="1">
      <alignment horizontal="center" vertical="center"/>
    </xf>
    <xf numFmtId="0" fontId="80" fillId="35" borderId="0" xfId="0" applyFont="1" applyFill="1" applyAlignment="1">
      <alignment vertical="center"/>
    </xf>
    <xf numFmtId="0" fontId="77" fillId="6" borderId="0" xfId="0" applyFont="1" applyFill="1" applyAlignment="1">
      <alignment vertical="center"/>
    </xf>
    <xf numFmtId="0" fontId="77" fillId="6" borderId="0" xfId="0" applyFont="1" applyFill="1" applyBorder="1" applyAlignment="1">
      <alignment vertical="center"/>
    </xf>
    <xf numFmtId="0" fontId="77" fillId="6" borderId="0" xfId="0" applyFont="1" applyFill="1" applyBorder="1" applyAlignment="1">
      <alignment vertical="center"/>
    </xf>
    <xf numFmtId="0" fontId="78" fillId="6" borderId="0" xfId="0" applyFont="1" applyFill="1" applyBorder="1" applyAlignment="1" applyProtection="1">
      <alignment vertical="center"/>
      <protection locked="0"/>
    </xf>
    <xf numFmtId="0" fontId="77" fillId="6" borderId="0" xfId="0" applyFont="1" applyFill="1" applyBorder="1" applyAlignment="1">
      <alignment horizontal="center" vertical="center"/>
    </xf>
    <xf numFmtId="0" fontId="78" fillId="6" borderId="0" xfId="0" applyFont="1" applyFill="1" applyBorder="1" applyAlignment="1" applyProtection="1">
      <alignment horizontal="center" vertical="center"/>
      <protection locked="0"/>
    </xf>
    <xf numFmtId="0" fontId="77" fillId="6" borderId="10" xfId="0" applyFont="1" applyFill="1" applyBorder="1" applyAlignment="1">
      <alignment horizontal="center" vertical="center"/>
    </xf>
    <xf numFmtId="0" fontId="77" fillId="6" borderId="0" xfId="0" applyFont="1" applyFill="1" applyAlignment="1" quotePrefix="1">
      <alignment vertical="center"/>
    </xf>
    <xf numFmtId="0" fontId="77" fillId="6" borderId="0" xfId="0" applyFont="1" applyFill="1" applyAlignment="1">
      <alignment horizontal="center" vertical="center"/>
    </xf>
    <xf numFmtId="0" fontId="77" fillId="6" borderId="0" xfId="0" applyFont="1" applyFill="1" applyAlignment="1">
      <alignment horizontal="center" vertical="center" wrapText="1"/>
    </xf>
    <xf numFmtId="0" fontId="77" fillId="34" borderId="0" xfId="0" applyFont="1" applyFill="1" applyAlignment="1">
      <alignment horizontal="left" vertical="center"/>
    </xf>
    <xf numFmtId="0" fontId="77" fillId="34" borderId="0" xfId="0" applyFont="1" applyFill="1" applyBorder="1" applyAlignment="1">
      <alignment horizontal="distributed" vertical="center"/>
    </xf>
    <xf numFmtId="0" fontId="77" fillId="3" borderId="0" xfId="0" applyFont="1" applyFill="1" applyAlignment="1">
      <alignment vertical="center"/>
    </xf>
    <xf numFmtId="0" fontId="80" fillId="6" borderId="0" xfId="0" applyFont="1" applyFill="1" applyAlignment="1">
      <alignment vertical="center"/>
    </xf>
    <xf numFmtId="0" fontId="77" fillId="0" borderId="25" xfId="0" applyFont="1" applyFill="1" applyBorder="1" applyAlignment="1">
      <alignment vertical="center"/>
    </xf>
    <xf numFmtId="0" fontId="77" fillId="0" borderId="10" xfId="0" applyFont="1" applyFill="1" applyBorder="1" applyAlignment="1">
      <alignment vertical="center"/>
    </xf>
    <xf numFmtId="0" fontId="70" fillId="6" borderId="0" xfId="0" applyFont="1" applyFill="1" applyAlignment="1">
      <alignment vertical="center"/>
    </xf>
    <xf numFmtId="0" fontId="70" fillId="6" borderId="0" xfId="0" applyFont="1" applyFill="1" applyAlignment="1">
      <alignment horizontal="center" vertical="center"/>
    </xf>
    <xf numFmtId="0" fontId="71" fillId="6" borderId="11" xfId="0" applyFont="1" applyFill="1" applyBorder="1" applyAlignment="1">
      <alignment horizontal="center" vertical="center"/>
    </xf>
    <xf numFmtId="0" fontId="70" fillId="6" borderId="11" xfId="0" applyFont="1" applyFill="1" applyBorder="1" applyAlignment="1">
      <alignment horizontal="center" vertical="center" shrinkToFit="1"/>
    </xf>
    <xf numFmtId="0" fontId="70" fillId="36" borderId="0" xfId="0" applyFont="1" applyFill="1" applyAlignment="1">
      <alignment vertical="center"/>
    </xf>
    <xf numFmtId="0" fontId="70" fillId="36" borderId="0" xfId="0" applyFont="1" applyFill="1" applyAlignment="1">
      <alignment horizontal="center" vertical="center"/>
    </xf>
    <xf numFmtId="0" fontId="70" fillId="34" borderId="10" xfId="0" applyFont="1" applyFill="1" applyBorder="1" applyAlignment="1">
      <alignment vertical="center"/>
    </xf>
    <xf numFmtId="0" fontId="70" fillId="34" borderId="10" xfId="0" applyFont="1" applyFill="1" applyBorder="1" applyAlignment="1">
      <alignment horizontal="center" vertical="center"/>
    </xf>
    <xf numFmtId="0" fontId="70" fillId="34" borderId="10" xfId="0" applyFont="1" applyFill="1" applyBorder="1" applyAlignment="1">
      <alignment horizontal="center" vertical="center" shrinkToFit="1"/>
    </xf>
    <xf numFmtId="0" fontId="70" fillId="34" borderId="10" xfId="0" applyFont="1" applyFill="1" applyBorder="1" applyAlignment="1" applyProtection="1">
      <alignment vertical="center"/>
      <protection locked="0"/>
    </xf>
    <xf numFmtId="0" fontId="81" fillId="6" borderId="0" xfId="0" applyFont="1" applyFill="1" applyAlignment="1">
      <alignment horizontal="center" vertical="center"/>
    </xf>
    <xf numFmtId="0" fontId="81" fillId="6" borderId="0" xfId="0" applyFont="1" applyFill="1" applyAlignment="1">
      <alignment horizontal="distributed" vertical="center"/>
    </xf>
    <xf numFmtId="0" fontId="81" fillId="6" borderId="0" xfId="0" applyFont="1" applyFill="1" applyAlignment="1">
      <alignment vertical="center"/>
    </xf>
    <xf numFmtId="0" fontId="81" fillId="34" borderId="0" xfId="0" applyFont="1" applyFill="1" applyAlignment="1">
      <alignment horizontal="center" vertical="center"/>
    </xf>
    <xf numFmtId="0" fontId="81" fillId="34" borderId="0" xfId="0" applyFont="1" applyFill="1" applyAlignment="1">
      <alignment horizontal="distributed" vertical="center"/>
    </xf>
    <xf numFmtId="0" fontId="81" fillId="34" borderId="0" xfId="0" applyFont="1" applyFill="1" applyAlignment="1">
      <alignment vertical="center"/>
    </xf>
    <xf numFmtId="0" fontId="82" fillId="34" borderId="0" xfId="0" applyFont="1" applyFill="1" applyAlignment="1">
      <alignment horizontal="left" vertical="center"/>
    </xf>
    <xf numFmtId="177" fontId="81" fillId="34" borderId="10" xfId="0" applyNumberFormat="1" applyFont="1" applyFill="1" applyBorder="1" applyAlignment="1">
      <alignment horizontal="center" vertical="center"/>
    </xf>
    <xf numFmtId="177" fontId="81" fillId="34" borderId="32" xfId="0" applyNumberFormat="1" applyFont="1" applyFill="1" applyBorder="1" applyAlignment="1">
      <alignment horizontal="center" vertical="center"/>
    </xf>
    <xf numFmtId="177" fontId="81" fillId="34" borderId="0" xfId="0" applyNumberFormat="1" applyFont="1" applyFill="1" applyBorder="1" applyAlignment="1">
      <alignment horizontal="center" vertical="center"/>
    </xf>
    <xf numFmtId="0" fontId="82" fillId="34" borderId="0" xfId="0" applyFont="1" applyFill="1" applyBorder="1" applyAlignment="1">
      <alignment vertical="center" shrinkToFit="1"/>
    </xf>
    <xf numFmtId="177" fontId="81" fillId="34" borderId="28" xfId="0" applyNumberFormat="1" applyFont="1" applyFill="1" applyBorder="1" applyAlignment="1">
      <alignment horizontal="center" vertical="center"/>
    </xf>
    <xf numFmtId="0" fontId="81" fillId="34" borderId="0" xfId="0" applyFont="1" applyFill="1" applyBorder="1" applyAlignment="1">
      <alignment vertical="center" shrinkToFit="1"/>
    </xf>
    <xf numFmtId="3" fontId="81" fillId="34" borderId="0" xfId="0" applyNumberFormat="1" applyFont="1" applyFill="1" applyBorder="1" applyAlignment="1">
      <alignment horizontal="center" vertical="center"/>
    </xf>
    <xf numFmtId="0" fontId="81" fillId="34" borderId="0" xfId="0" applyNumberFormat="1" applyFont="1" applyFill="1" applyBorder="1" applyAlignment="1">
      <alignment horizontal="distributed" vertical="center"/>
    </xf>
    <xf numFmtId="0" fontId="81" fillId="34" borderId="0" xfId="0" applyFont="1" applyFill="1" applyAlignment="1">
      <alignment vertical="center"/>
    </xf>
    <xf numFmtId="0" fontId="81" fillId="34" borderId="0" xfId="0" applyFont="1" applyFill="1" applyAlignment="1">
      <alignment horizontal="center" vertical="top"/>
    </xf>
    <xf numFmtId="0" fontId="81" fillId="34" borderId="0" xfId="0" applyFont="1" applyFill="1" applyAlignment="1">
      <alignment horizontal="distributed" vertical="top"/>
    </xf>
    <xf numFmtId="0" fontId="81" fillId="34" borderId="0" xfId="0" applyFont="1" applyFill="1" applyAlignment="1">
      <alignment vertical="center" wrapText="1"/>
    </xf>
    <xf numFmtId="0" fontId="81" fillId="34" borderId="0" xfId="0" applyFont="1" applyFill="1" applyAlignment="1">
      <alignment horizontal="right" vertical="center"/>
    </xf>
    <xf numFmtId="0" fontId="81" fillId="34" borderId="0" xfId="0" applyFont="1" applyFill="1" applyAlignment="1">
      <alignment vertical="center" shrinkToFit="1"/>
    </xf>
    <xf numFmtId="0" fontId="81" fillId="34" borderId="31" xfId="0" applyFont="1" applyFill="1" applyBorder="1" applyAlignment="1">
      <alignment vertical="center"/>
    </xf>
    <xf numFmtId="0" fontId="81" fillId="34" borderId="33" xfId="0" applyFont="1" applyFill="1" applyBorder="1" applyAlignment="1">
      <alignment vertical="center"/>
    </xf>
    <xf numFmtId="0" fontId="81" fillId="34" borderId="33" xfId="0" applyFont="1" applyFill="1" applyBorder="1" applyAlignment="1">
      <alignment vertical="center"/>
    </xf>
    <xf numFmtId="0" fontId="81" fillId="34" borderId="41" xfId="0" applyFont="1" applyFill="1" applyBorder="1" applyAlignment="1">
      <alignment vertical="center"/>
    </xf>
    <xf numFmtId="0" fontId="81" fillId="34" borderId="24" xfId="0" applyFont="1" applyFill="1" applyBorder="1" applyAlignment="1">
      <alignment horizontal="center" vertical="center"/>
    </xf>
    <xf numFmtId="0" fontId="81" fillId="34" borderId="24" xfId="0" applyFont="1" applyFill="1" applyBorder="1" applyAlignment="1">
      <alignment vertical="center"/>
    </xf>
    <xf numFmtId="0" fontId="81" fillId="34" borderId="43" xfId="0" applyFont="1" applyFill="1" applyBorder="1" applyAlignment="1">
      <alignment vertical="center"/>
    </xf>
    <xf numFmtId="177" fontId="81" fillId="34" borderId="17" xfId="0" applyNumberFormat="1" applyFont="1" applyFill="1" applyBorder="1" applyAlignment="1">
      <alignment horizontal="center" vertical="center"/>
    </xf>
    <xf numFmtId="0" fontId="76" fillId="0" borderId="0" xfId="0" applyFont="1" applyAlignment="1" applyProtection="1">
      <alignment vertical="center"/>
      <protection/>
    </xf>
    <xf numFmtId="0" fontId="83" fillId="0" borderId="12" xfId="0" applyFont="1" applyBorder="1" applyAlignment="1" applyProtection="1">
      <alignment horizontal="center" vertical="center"/>
      <protection/>
    </xf>
    <xf numFmtId="0" fontId="83" fillId="0" borderId="14" xfId="0" applyFont="1" applyBorder="1" applyAlignment="1" applyProtection="1">
      <alignment horizontal="center" vertical="center"/>
      <protection/>
    </xf>
    <xf numFmtId="0" fontId="83" fillId="0" borderId="44" xfId="0" applyFont="1" applyBorder="1" applyAlignment="1" applyProtection="1">
      <alignment horizontal="center" vertical="center"/>
      <protection/>
    </xf>
    <xf numFmtId="0" fontId="84" fillId="0" borderId="30" xfId="0" applyFont="1" applyBorder="1" applyAlignment="1" applyProtection="1">
      <alignment vertical="center" wrapText="1"/>
      <protection locked="0"/>
    </xf>
    <xf numFmtId="0" fontId="84" fillId="0" borderId="28" xfId="0" applyFont="1" applyBorder="1" applyAlignment="1" applyProtection="1">
      <alignment vertical="center" wrapText="1"/>
      <protection locked="0"/>
    </xf>
    <xf numFmtId="0" fontId="84" fillId="0" borderId="31" xfId="0" applyFont="1" applyBorder="1" applyAlignment="1" applyProtection="1">
      <alignment vertical="center" wrapText="1"/>
      <protection locked="0"/>
    </xf>
    <xf numFmtId="0" fontId="84" fillId="0" borderId="32" xfId="0" applyFont="1" applyBorder="1" applyAlignment="1" applyProtection="1">
      <alignment vertical="center" wrapText="1"/>
      <protection locked="0"/>
    </xf>
    <xf numFmtId="0" fontId="84" fillId="0" borderId="0" xfId="0" applyFont="1" applyBorder="1" applyAlignment="1" applyProtection="1">
      <alignment vertical="center" wrapText="1"/>
      <protection locked="0"/>
    </xf>
    <xf numFmtId="0" fontId="84" fillId="0" borderId="33" xfId="0" applyFont="1" applyBorder="1" applyAlignment="1" applyProtection="1">
      <alignment vertical="center" wrapText="1"/>
      <protection locked="0"/>
    </xf>
    <xf numFmtId="0" fontId="84" fillId="0" borderId="41" xfId="0" applyFont="1" applyBorder="1" applyAlignment="1" applyProtection="1">
      <alignment vertical="center" wrapText="1"/>
      <protection locked="0"/>
    </xf>
    <xf numFmtId="0" fontId="84" fillId="0" borderId="24" xfId="0" applyFont="1" applyBorder="1" applyAlignment="1" applyProtection="1">
      <alignment vertical="center" wrapText="1"/>
      <protection locked="0"/>
    </xf>
    <xf numFmtId="0" fontId="84" fillId="0" borderId="43" xfId="0" applyFont="1" applyBorder="1" applyAlignment="1" applyProtection="1">
      <alignment vertical="center" wrapText="1"/>
      <protection locked="0"/>
    </xf>
    <xf numFmtId="0" fontId="0" fillId="0" borderId="0" xfId="0" applyAlignment="1" applyProtection="1">
      <alignment horizontal="center" vertical="center"/>
      <protection/>
    </xf>
    <xf numFmtId="0" fontId="69" fillId="0" borderId="45" xfId="0" applyFont="1" applyBorder="1" applyAlignment="1">
      <alignment horizontal="center" vertical="center"/>
    </xf>
    <xf numFmtId="0" fontId="69" fillId="0" borderId="46" xfId="0" applyFont="1" applyBorder="1" applyAlignment="1">
      <alignment horizontal="center" vertical="center"/>
    </xf>
    <xf numFmtId="0" fontId="69" fillId="0" borderId="47" xfId="0" applyFont="1" applyBorder="1" applyAlignment="1">
      <alignment horizontal="center" vertical="center"/>
    </xf>
    <xf numFmtId="0" fontId="69" fillId="0" borderId="24" xfId="0" applyFont="1" applyBorder="1" applyAlignment="1" applyProtection="1">
      <alignment horizontal="center" vertical="center"/>
      <protection locked="0"/>
    </xf>
    <xf numFmtId="0" fontId="69" fillId="0" borderId="0" xfId="0" applyFont="1" applyBorder="1" applyAlignment="1" applyProtection="1">
      <alignment horizontal="center" vertical="center"/>
      <protection locked="0"/>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32" xfId="0" applyFill="1" applyBorder="1" applyAlignment="1">
      <alignment horizontal="center" vertical="center"/>
    </xf>
    <xf numFmtId="0" fontId="0" fillId="34" borderId="33" xfId="0" applyFill="1" applyBorder="1" applyAlignment="1">
      <alignment horizontal="center" vertical="center"/>
    </xf>
    <xf numFmtId="0" fontId="0" fillId="34" borderId="32" xfId="0" applyFill="1" applyBorder="1" applyAlignment="1">
      <alignment vertical="center" wrapText="1"/>
    </xf>
    <xf numFmtId="0" fontId="0" fillId="34" borderId="33" xfId="0" applyFill="1" applyBorder="1" applyAlignment="1">
      <alignment vertical="center"/>
    </xf>
    <xf numFmtId="0" fontId="0" fillId="34" borderId="32" xfId="0" applyFill="1" applyBorder="1" applyAlignment="1">
      <alignment vertical="center"/>
    </xf>
    <xf numFmtId="0" fontId="0" fillId="34" borderId="41" xfId="0" applyFill="1" applyBorder="1" applyAlignment="1">
      <alignment vertical="center"/>
    </xf>
    <xf numFmtId="0" fontId="0" fillId="34" borderId="43" xfId="0" applyFill="1" applyBorder="1" applyAlignment="1">
      <alignment vertical="center"/>
    </xf>
    <xf numFmtId="0" fontId="85" fillId="33" borderId="32" xfId="0" applyFont="1" applyFill="1" applyBorder="1" applyAlignment="1">
      <alignment horizontal="center" vertical="center" shrinkToFit="1"/>
    </xf>
    <xf numFmtId="0" fontId="85" fillId="33" borderId="0" xfId="0" applyFont="1" applyFill="1" applyBorder="1" applyAlignment="1">
      <alignment horizontal="center" vertical="center" shrinkToFit="1"/>
    </xf>
    <xf numFmtId="0" fontId="0" fillId="34" borderId="10" xfId="0" applyFill="1" applyBorder="1" applyAlignment="1">
      <alignment horizontal="center" vertical="center" textRotation="255"/>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2" xfId="0" applyFill="1" applyBorder="1" applyAlignment="1" applyProtection="1">
      <alignment vertical="center"/>
      <protection locked="0"/>
    </xf>
    <xf numFmtId="0" fontId="0" fillId="34" borderId="44" xfId="0" applyFill="1" applyBorder="1" applyAlignment="1" applyProtection="1">
      <alignment vertical="center"/>
      <protection locked="0"/>
    </xf>
    <xf numFmtId="0" fontId="0" fillId="34" borderId="12" xfId="0" applyFill="1" applyBorder="1" applyAlignment="1" applyProtection="1">
      <alignment vertical="center" wrapText="1"/>
      <protection locked="0"/>
    </xf>
    <xf numFmtId="0" fontId="75" fillId="34" borderId="0" xfId="0" applyFont="1" applyFill="1" applyBorder="1" applyAlignment="1">
      <alignment horizontal="center" vertical="center"/>
    </xf>
    <xf numFmtId="0" fontId="0" fillId="34" borderId="0" xfId="0" applyFill="1" applyAlignment="1">
      <alignment horizontal="center" vertical="center"/>
    </xf>
    <xf numFmtId="0" fontId="0" fillId="34" borderId="0" xfId="0" applyFill="1" applyAlignment="1">
      <alignment vertical="center"/>
    </xf>
    <xf numFmtId="0" fontId="0" fillId="34" borderId="12" xfId="0" applyFill="1" applyBorder="1" applyAlignment="1">
      <alignment horizontal="center" vertical="center"/>
    </xf>
    <xf numFmtId="0" fontId="0" fillId="34" borderId="44" xfId="0" applyFill="1" applyBorder="1" applyAlignment="1">
      <alignment horizontal="center" vertical="center"/>
    </xf>
    <xf numFmtId="0" fontId="0" fillId="34" borderId="14" xfId="0" applyFill="1" applyBorder="1" applyAlignment="1" applyProtection="1">
      <alignment vertical="center" wrapText="1"/>
      <protection locked="0"/>
    </xf>
    <xf numFmtId="0" fontId="0" fillId="34" borderId="44" xfId="0" applyFill="1" applyBorder="1" applyAlignment="1" applyProtection="1">
      <alignment vertical="center" wrapText="1"/>
      <protection locked="0"/>
    </xf>
    <xf numFmtId="0" fontId="0" fillId="34" borderId="30" xfId="0" applyFill="1" applyBorder="1" applyAlignment="1">
      <alignment horizontal="center" vertical="center" wrapText="1"/>
    </xf>
    <xf numFmtId="0" fontId="0" fillId="34" borderId="41" xfId="0" applyFill="1" applyBorder="1" applyAlignment="1">
      <alignment horizontal="center" vertical="center"/>
    </xf>
    <xf numFmtId="0" fontId="0" fillId="34" borderId="43" xfId="0" applyFill="1" applyBorder="1" applyAlignment="1">
      <alignment horizontal="center" vertical="center"/>
    </xf>
    <xf numFmtId="0" fontId="0" fillId="34" borderId="12"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0" fontId="0" fillId="34" borderId="44" xfId="0" applyFill="1" applyBorder="1" applyAlignment="1" applyProtection="1">
      <alignment horizontal="center" vertical="center"/>
      <protection locked="0"/>
    </xf>
    <xf numFmtId="179" fontId="0" fillId="34" borderId="30" xfId="0" applyNumberFormat="1" applyFill="1" applyBorder="1" applyAlignment="1">
      <alignment horizontal="center" vertical="center"/>
    </xf>
    <xf numFmtId="179" fontId="0" fillId="34" borderId="31" xfId="0" applyNumberFormat="1" applyFill="1" applyBorder="1" applyAlignment="1">
      <alignment horizontal="center" vertical="center"/>
    </xf>
    <xf numFmtId="179" fontId="0" fillId="34" borderId="32" xfId="0" applyNumberFormat="1" applyFill="1" applyBorder="1" applyAlignment="1">
      <alignment horizontal="center" vertical="center"/>
    </xf>
    <xf numFmtId="179" fontId="0" fillId="34" borderId="33" xfId="0" applyNumberFormat="1" applyFill="1" applyBorder="1" applyAlignment="1">
      <alignment horizontal="center" vertical="center"/>
    </xf>
    <xf numFmtId="179" fontId="0" fillId="34" borderId="41" xfId="0" applyNumberFormat="1" applyFill="1" applyBorder="1" applyAlignment="1">
      <alignment horizontal="center" vertical="center"/>
    </xf>
    <xf numFmtId="179" fontId="0" fillId="34" borderId="43" xfId="0" applyNumberFormat="1" applyFill="1" applyBorder="1" applyAlignment="1">
      <alignment horizontal="center" vertical="center"/>
    </xf>
    <xf numFmtId="20" fontId="0" fillId="34" borderId="12" xfId="0" applyNumberFormat="1" applyFill="1" applyBorder="1" applyAlignment="1" applyProtection="1">
      <alignment horizontal="center" vertical="center"/>
      <protection locked="0"/>
    </xf>
    <xf numFmtId="0" fontId="0" fillId="34" borderId="10" xfId="0" applyFill="1" applyBorder="1" applyAlignment="1" applyProtection="1">
      <alignment horizontal="center" vertical="center"/>
      <protection/>
    </xf>
    <xf numFmtId="0" fontId="0" fillId="34" borderId="10" xfId="0" applyFill="1" applyBorder="1" applyAlignment="1" applyProtection="1">
      <alignment horizontal="center" vertical="center"/>
      <protection locked="0"/>
    </xf>
    <xf numFmtId="0" fontId="0" fillId="34" borderId="48" xfId="0" applyFill="1" applyBorder="1" applyAlignment="1" applyProtection="1">
      <alignment horizontal="center" vertical="center"/>
      <protection locked="0"/>
    </xf>
    <xf numFmtId="0" fontId="0" fillId="34" borderId="49" xfId="0" applyFill="1" applyBorder="1" applyAlignment="1" applyProtection="1">
      <alignment horizontal="center" vertical="center"/>
      <protection locked="0"/>
    </xf>
    <xf numFmtId="0" fontId="0" fillId="34" borderId="50" xfId="0" applyFill="1" applyBorder="1" applyAlignment="1" applyProtection="1">
      <alignment horizontal="center" vertical="center"/>
      <protection locked="0"/>
    </xf>
    <xf numFmtId="0" fontId="0" fillId="34" borderId="10" xfId="0" applyFill="1" applyBorder="1" applyAlignment="1" applyProtection="1">
      <alignment horizontal="center" vertical="center" wrapText="1"/>
      <protection locked="0"/>
    </xf>
    <xf numFmtId="3" fontId="0" fillId="34" borderId="12" xfId="0" applyNumberFormat="1" applyFill="1" applyBorder="1" applyAlignment="1" applyProtection="1">
      <alignment horizontal="center" vertical="center"/>
      <protection locked="0"/>
    </xf>
    <xf numFmtId="0" fontId="0" fillId="34" borderId="44" xfId="0" applyFill="1" applyBorder="1" applyAlignment="1" applyProtection="1">
      <alignment horizontal="center" vertical="center"/>
      <protection/>
    </xf>
    <xf numFmtId="0" fontId="0" fillId="34" borderId="10" xfId="0" applyFill="1" applyBorder="1" applyAlignment="1">
      <alignment horizontal="center" vertical="center"/>
    </xf>
    <xf numFmtId="0" fontId="0" fillId="34" borderId="25" xfId="0" applyFill="1" applyBorder="1" applyAlignment="1">
      <alignment horizontal="center" vertical="center"/>
    </xf>
    <xf numFmtId="0" fontId="0" fillId="33" borderId="32" xfId="0" applyFill="1" applyBorder="1" applyAlignment="1">
      <alignment vertical="center" wrapText="1"/>
    </xf>
    <xf numFmtId="0" fontId="0" fillId="33" borderId="33" xfId="0" applyFill="1" applyBorder="1" applyAlignment="1">
      <alignment vertical="center" wrapText="1"/>
    </xf>
    <xf numFmtId="0" fontId="0" fillId="33" borderId="41" xfId="0" applyFill="1" applyBorder="1" applyAlignment="1">
      <alignment vertical="center" wrapText="1"/>
    </xf>
    <xf numFmtId="0" fontId="0" fillId="33" borderId="43" xfId="0" applyFill="1" applyBorder="1" applyAlignment="1">
      <alignment vertical="center" wrapText="1"/>
    </xf>
    <xf numFmtId="0" fontId="0" fillId="34" borderId="13" xfId="0" applyFill="1" applyBorder="1" applyAlignment="1">
      <alignment horizontal="center" vertical="center"/>
    </xf>
    <xf numFmtId="58" fontId="0" fillId="34" borderId="10" xfId="0" applyNumberFormat="1" applyFill="1" applyBorder="1" applyAlignment="1" applyProtection="1">
      <alignment horizontal="center" vertical="center"/>
      <protection locked="0"/>
    </xf>
    <xf numFmtId="177" fontId="0" fillId="34" borderId="10" xfId="0" applyNumberFormat="1" applyFill="1" applyBorder="1" applyAlignment="1" applyProtection="1">
      <alignment horizontal="center" vertical="center"/>
      <protection locked="0"/>
    </xf>
    <xf numFmtId="20" fontId="0" fillId="34" borderId="10" xfId="0" applyNumberFormat="1" applyFill="1" applyBorder="1" applyAlignment="1" applyProtection="1">
      <alignment horizontal="center" vertical="center"/>
      <protection locked="0"/>
    </xf>
    <xf numFmtId="0" fontId="0" fillId="34" borderId="12" xfId="0" applyFill="1" applyBorder="1" applyAlignment="1">
      <alignment horizontal="center" vertical="center" shrinkToFit="1"/>
    </xf>
    <xf numFmtId="0" fontId="0" fillId="34" borderId="44" xfId="0" applyFill="1" applyBorder="1" applyAlignment="1">
      <alignment horizontal="center" vertical="center" shrinkToFit="1"/>
    </xf>
    <xf numFmtId="0" fontId="86" fillId="33" borderId="32" xfId="0" applyFont="1" applyFill="1" applyBorder="1" applyAlignment="1" applyProtection="1">
      <alignment vertical="center"/>
      <protection locked="0"/>
    </xf>
    <xf numFmtId="0" fontId="86" fillId="33" borderId="0" xfId="0" applyFont="1" applyFill="1" applyBorder="1" applyAlignment="1" applyProtection="1">
      <alignment vertical="center"/>
      <protection locked="0"/>
    </xf>
    <xf numFmtId="0" fontId="77" fillId="36" borderId="0" xfId="0" applyFont="1" applyFill="1" applyAlignment="1">
      <alignment vertical="center"/>
    </xf>
    <xf numFmtId="0" fontId="77" fillId="3" borderId="24" xfId="0" applyFont="1" applyFill="1" applyBorder="1" applyAlignment="1">
      <alignment vertical="center"/>
    </xf>
    <xf numFmtId="0" fontId="77" fillId="34" borderId="0" xfId="0" applyFont="1" applyFill="1" applyAlignment="1">
      <alignment horizontal="distributed" vertical="center"/>
    </xf>
    <xf numFmtId="0" fontId="77" fillId="34" borderId="0" xfId="0" applyFont="1" applyFill="1" applyAlignment="1">
      <alignment horizontal="center" vertical="center"/>
    </xf>
    <xf numFmtId="0" fontId="77" fillId="34" borderId="0" xfId="0" applyFont="1" applyFill="1" applyAlignment="1">
      <alignment vertical="center"/>
    </xf>
    <xf numFmtId="0" fontId="77" fillId="34" borderId="0" xfId="0" applyFont="1" applyFill="1" applyAlignment="1">
      <alignment horizontal="left" vertical="center"/>
    </xf>
    <xf numFmtId="176" fontId="77" fillId="34" borderId="0" xfId="0" applyNumberFormat="1" applyFont="1" applyFill="1" applyAlignment="1">
      <alignment horizontal="distributed" vertical="center"/>
    </xf>
    <xf numFmtId="0" fontId="77" fillId="34" borderId="0" xfId="0" applyFont="1" applyFill="1" applyAlignment="1">
      <alignment horizontal="right" vertical="center"/>
    </xf>
    <xf numFmtId="0" fontId="77" fillId="34" borderId="0" xfId="0" applyFont="1" applyFill="1" applyAlignment="1">
      <alignment vertical="center" wrapText="1"/>
    </xf>
    <xf numFmtId="0" fontId="87" fillId="36" borderId="51" xfId="0" applyFont="1" applyFill="1" applyBorder="1" applyAlignment="1" applyProtection="1">
      <alignment horizontal="center" vertical="center"/>
      <protection locked="0"/>
    </xf>
    <xf numFmtId="0" fontId="87" fillId="36" borderId="52" xfId="0" applyFont="1" applyFill="1" applyBorder="1" applyAlignment="1" applyProtection="1">
      <alignment horizontal="center" vertical="center"/>
      <protection locked="0"/>
    </xf>
    <xf numFmtId="0" fontId="78" fillId="3" borderId="51" xfId="0" applyFont="1" applyFill="1" applyBorder="1" applyAlignment="1" applyProtection="1">
      <alignment horizontal="center" vertical="center"/>
      <protection locked="0"/>
    </xf>
    <xf numFmtId="0" fontId="78" fillId="3" borderId="52" xfId="0" applyFont="1" applyFill="1" applyBorder="1" applyAlignment="1" applyProtection="1">
      <alignment horizontal="center" vertical="center"/>
      <protection locked="0"/>
    </xf>
    <xf numFmtId="0" fontId="79" fillId="35" borderId="11" xfId="0" applyFont="1" applyFill="1" applyBorder="1" applyAlignment="1">
      <alignment horizontal="center" vertical="center"/>
    </xf>
    <xf numFmtId="0" fontId="88" fillId="35" borderId="11" xfId="0" applyFont="1" applyFill="1" applyBorder="1" applyAlignment="1">
      <alignment horizontal="center" vertical="center"/>
    </xf>
    <xf numFmtId="0" fontId="77" fillId="34" borderId="0" xfId="0" applyFont="1" applyFill="1" applyBorder="1" applyAlignment="1">
      <alignment vertical="center"/>
    </xf>
    <xf numFmtId="0" fontId="77" fillId="34" borderId="33" xfId="0" applyFont="1" applyFill="1" applyBorder="1" applyAlignment="1">
      <alignment vertical="center"/>
    </xf>
    <xf numFmtId="0" fontId="77" fillId="34" borderId="24" xfId="0" applyFont="1" applyFill="1" applyBorder="1" applyAlignment="1">
      <alignment vertical="center"/>
    </xf>
    <xf numFmtId="0" fontId="77" fillId="34" borderId="43" xfId="0" applyFont="1" applyFill="1" applyBorder="1" applyAlignment="1">
      <alignment vertical="center"/>
    </xf>
    <xf numFmtId="0" fontId="77" fillId="34" borderId="28" xfId="0" applyFont="1" applyFill="1" applyBorder="1" applyAlignment="1">
      <alignment horizontal="distributed" vertical="center"/>
    </xf>
    <xf numFmtId="0" fontId="77" fillId="34" borderId="28" xfId="0" applyFont="1" applyFill="1" applyBorder="1" applyAlignment="1">
      <alignment horizontal="center" vertical="center"/>
    </xf>
    <xf numFmtId="0" fontId="77" fillId="34" borderId="31" xfId="0" applyFont="1" applyFill="1" applyBorder="1" applyAlignment="1">
      <alignment horizontal="center" vertical="center"/>
    </xf>
    <xf numFmtId="0" fontId="77" fillId="34" borderId="0" xfId="0" applyFont="1" applyFill="1" applyAlignment="1">
      <alignment vertical="center" shrinkToFit="1"/>
    </xf>
    <xf numFmtId="0" fontId="77" fillId="34" borderId="24" xfId="0" applyFont="1" applyFill="1" applyBorder="1" applyAlignment="1">
      <alignment horizontal="center" vertical="center" shrinkToFit="1"/>
    </xf>
    <xf numFmtId="0" fontId="77" fillId="34" borderId="0" xfId="0" applyFont="1" applyFill="1" applyBorder="1" applyAlignment="1">
      <alignment horizontal="center" vertical="center"/>
    </xf>
    <xf numFmtId="0" fontId="77" fillId="35" borderId="0" xfId="0" applyFont="1" applyFill="1" applyAlignment="1">
      <alignment horizontal="center" vertical="center"/>
    </xf>
    <xf numFmtId="0" fontId="77" fillId="35" borderId="0" xfId="0" applyFont="1" applyFill="1" applyAlignment="1">
      <alignment horizontal="center" vertical="center" wrapText="1"/>
    </xf>
    <xf numFmtId="0" fontId="77" fillId="34" borderId="14" xfId="0" applyFont="1" applyFill="1" applyBorder="1" applyAlignment="1">
      <alignment vertical="center"/>
    </xf>
    <xf numFmtId="0" fontId="77" fillId="34" borderId="28" xfId="0" applyFont="1" applyFill="1" applyBorder="1" applyAlignment="1">
      <alignment horizontal="left" vertical="center"/>
    </xf>
    <xf numFmtId="0" fontId="77" fillId="34" borderId="24" xfId="0" applyFont="1" applyFill="1" applyBorder="1" applyAlignment="1">
      <alignment horizontal="distributed" vertical="center"/>
    </xf>
    <xf numFmtId="0" fontId="77" fillId="34" borderId="0" xfId="0" applyFont="1" applyFill="1" applyAlignment="1">
      <alignment horizontal="center" vertical="center" shrinkToFit="1"/>
    </xf>
    <xf numFmtId="3" fontId="77" fillId="34" borderId="0" xfId="0" applyNumberFormat="1" applyFont="1" applyFill="1" applyAlignment="1">
      <alignment horizontal="center" vertical="center"/>
    </xf>
    <xf numFmtId="0" fontId="77" fillId="34" borderId="24" xfId="0" applyFont="1" applyFill="1" applyBorder="1" applyAlignment="1">
      <alignment vertical="center" shrinkToFit="1"/>
    </xf>
    <xf numFmtId="0" fontId="88" fillId="6" borderId="11" xfId="0" applyFont="1" applyFill="1" applyBorder="1" applyAlignment="1">
      <alignment horizontal="center" vertical="center"/>
    </xf>
    <xf numFmtId="0" fontId="79" fillId="6" borderId="11" xfId="0" applyFont="1" applyFill="1" applyBorder="1" applyAlignment="1">
      <alignment horizontal="center" vertical="center"/>
    </xf>
    <xf numFmtId="0" fontId="77" fillId="6" borderId="0" xfId="0" applyFont="1" applyFill="1" applyAlignment="1">
      <alignment horizontal="center" vertical="center" wrapText="1"/>
    </xf>
    <xf numFmtId="0" fontId="77" fillId="6" borderId="0" xfId="0" applyFont="1" applyFill="1" applyAlignment="1">
      <alignment horizontal="center" vertical="center"/>
    </xf>
    <xf numFmtId="0" fontId="77" fillId="3" borderId="53" xfId="0" applyFont="1" applyFill="1" applyBorder="1" applyAlignment="1">
      <alignment horizontal="center" vertical="center"/>
    </xf>
    <xf numFmtId="0" fontId="87" fillId="3" borderId="54" xfId="0" applyFont="1" applyFill="1" applyBorder="1" applyAlignment="1" applyProtection="1">
      <alignment horizontal="center" vertical="center"/>
      <protection locked="0"/>
    </xf>
    <xf numFmtId="0" fontId="87" fillId="3" borderId="55" xfId="0" applyFont="1" applyFill="1" applyBorder="1" applyAlignment="1" applyProtection="1">
      <alignment horizontal="center" vertical="center"/>
      <protection locked="0"/>
    </xf>
    <xf numFmtId="0" fontId="79" fillId="3" borderId="54" xfId="0" applyFont="1" applyFill="1" applyBorder="1" applyAlignment="1">
      <alignment horizontal="center" vertical="center" wrapText="1"/>
    </xf>
    <xf numFmtId="0" fontId="79" fillId="3" borderId="55" xfId="0" applyFont="1" applyFill="1" applyBorder="1" applyAlignment="1">
      <alignment horizontal="center" vertical="center" wrapText="1"/>
    </xf>
    <xf numFmtId="0" fontId="89" fillId="6" borderId="28" xfId="0" applyFont="1" applyFill="1" applyBorder="1" applyAlignment="1">
      <alignment horizontal="center" vertical="center"/>
    </xf>
    <xf numFmtId="0" fontId="89" fillId="6" borderId="0" xfId="0" applyFont="1" applyFill="1" applyAlignment="1">
      <alignment horizontal="center" vertical="center"/>
    </xf>
    <xf numFmtId="0" fontId="89" fillId="6" borderId="0" xfId="0" applyFont="1" applyFill="1" applyAlignment="1">
      <alignment horizontal="center" vertical="center" wrapText="1"/>
    </xf>
    <xf numFmtId="0" fontId="72" fillId="34" borderId="24" xfId="0" applyFont="1" applyFill="1" applyBorder="1" applyAlignment="1">
      <alignment horizontal="center" vertical="center"/>
    </xf>
    <xf numFmtId="0" fontId="70" fillId="6" borderId="0" xfId="0" applyFont="1" applyFill="1" applyBorder="1" applyAlignment="1">
      <alignment horizontal="center" vertical="center"/>
    </xf>
    <xf numFmtId="0" fontId="90" fillId="6" borderId="11" xfId="0" applyFont="1" applyFill="1" applyBorder="1" applyAlignment="1">
      <alignment horizontal="center" vertical="center"/>
    </xf>
    <xf numFmtId="0" fontId="70" fillId="36" borderId="54" xfId="0" applyFont="1" applyFill="1" applyBorder="1" applyAlignment="1">
      <alignment horizontal="center" vertical="center"/>
    </xf>
    <xf numFmtId="0" fontId="70" fillId="36" borderId="55" xfId="0" applyFont="1" applyFill="1" applyBorder="1" applyAlignment="1">
      <alignment horizontal="center" vertical="center"/>
    </xf>
    <xf numFmtId="0" fontId="91" fillId="36" borderId="54" xfId="0" applyFont="1" applyFill="1" applyBorder="1" applyAlignment="1" applyProtection="1">
      <alignment horizontal="center" vertical="center"/>
      <protection locked="0"/>
    </xf>
    <xf numFmtId="0" fontId="91" fillId="36" borderId="55" xfId="0" applyFont="1" applyFill="1" applyBorder="1" applyAlignment="1" applyProtection="1">
      <alignment horizontal="center" vertical="center"/>
      <protection locked="0"/>
    </xf>
    <xf numFmtId="0" fontId="70" fillId="34" borderId="24" xfId="0" applyFont="1" applyFill="1" applyBorder="1" applyAlignment="1" applyProtection="1">
      <alignment horizontal="center" vertical="center"/>
      <protection locked="0"/>
    </xf>
    <xf numFmtId="0" fontId="82" fillId="34" borderId="10" xfId="0" applyFont="1" applyFill="1" applyBorder="1" applyAlignment="1">
      <alignment vertical="center" shrinkToFit="1"/>
    </xf>
    <xf numFmtId="0" fontId="81" fillId="34" borderId="0" xfId="0" applyFont="1" applyFill="1" applyAlignment="1">
      <alignment horizontal="distributed" vertical="center"/>
    </xf>
    <xf numFmtId="0" fontId="82" fillId="34" borderId="12" xfId="0" applyFont="1" applyFill="1" applyBorder="1" applyAlignment="1">
      <alignment vertical="center" shrinkToFit="1"/>
    </xf>
    <xf numFmtId="0" fontId="82" fillId="34" borderId="0" xfId="0" applyFont="1" applyFill="1" applyBorder="1" applyAlignment="1">
      <alignment vertical="center" shrinkToFit="1"/>
    </xf>
    <xf numFmtId="0" fontId="92" fillId="34" borderId="0" xfId="0" applyFont="1" applyFill="1" applyAlignment="1">
      <alignment vertical="center"/>
    </xf>
    <xf numFmtId="0" fontId="81" fillId="34" borderId="0" xfId="0" applyFont="1" applyFill="1" applyAlignment="1">
      <alignment vertical="center"/>
    </xf>
    <xf numFmtId="178" fontId="81" fillId="34" borderId="0" xfId="0" applyNumberFormat="1" applyFont="1" applyFill="1" applyAlignment="1">
      <alignment horizontal="distributed" vertical="center"/>
    </xf>
    <xf numFmtId="0" fontId="81" fillId="34" borderId="10" xfId="0" applyFont="1" applyFill="1" applyBorder="1" applyAlignment="1">
      <alignment horizontal="center" vertical="center"/>
    </xf>
    <xf numFmtId="0" fontId="81" fillId="34" borderId="12" xfId="0" applyFont="1" applyFill="1" applyBorder="1" applyAlignment="1">
      <alignment horizontal="center" vertical="center"/>
    </xf>
    <xf numFmtId="0" fontId="81" fillId="34" borderId="32" xfId="0" applyFont="1" applyFill="1" applyBorder="1" applyAlignment="1">
      <alignment horizontal="center" vertical="center"/>
    </xf>
    <xf numFmtId="0" fontId="81" fillId="34" borderId="0" xfId="0" applyFont="1" applyFill="1" applyBorder="1" applyAlignment="1">
      <alignment horizontal="center" vertical="center"/>
    </xf>
    <xf numFmtId="0" fontId="81" fillId="34" borderId="0" xfId="0" applyFont="1" applyFill="1" applyAlignment="1">
      <alignment vertical="center" shrinkToFit="1"/>
    </xf>
    <xf numFmtId="0" fontId="81" fillId="34" borderId="0" xfId="0" applyFont="1" applyFill="1" applyBorder="1" applyAlignment="1">
      <alignment vertical="center" shrinkToFit="1"/>
    </xf>
    <xf numFmtId="0" fontId="81" fillId="34" borderId="0" xfId="0" applyFont="1" applyFill="1" applyAlignment="1">
      <alignment vertical="justify" wrapText="1"/>
    </xf>
    <xf numFmtId="0" fontId="81" fillId="34" borderId="32" xfId="0" applyFont="1" applyFill="1" applyBorder="1" applyAlignment="1">
      <alignment horizontal="right" vertical="center"/>
    </xf>
    <xf numFmtId="0" fontId="81" fillId="34" borderId="0" xfId="0" applyFont="1" applyFill="1" applyBorder="1" applyAlignment="1">
      <alignment horizontal="right" vertical="center"/>
    </xf>
    <xf numFmtId="0" fontId="81" fillId="34" borderId="0" xfId="0" applyFont="1" applyFill="1" applyBorder="1" applyAlignment="1">
      <alignment vertical="center"/>
    </xf>
    <xf numFmtId="0" fontId="81" fillId="34" borderId="30" xfId="0" applyFont="1" applyFill="1" applyBorder="1" applyAlignment="1">
      <alignment horizontal="distributed" vertical="center"/>
    </xf>
    <xf numFmtId="0" fontId="81" fillId="34" borderId="28" xfId="0" applyFont="1" applyFill="1" applyBorder="1" applyAlignment="1">
      <alignment horizontal="distributed" vertical="center"/>
    </xf>
    <xf numFmtId="0" fontId="81" fillId="34" borderId="28" xfId="0" applyFont="1" applyFill="1" applyBorder="1" applyAlignment="1">
      <alignment horizontal="center" vertical="center"/>
    </xf>
    <xf numFmtId="0" fontId="82" fillId="34" borderId="14" xfId="0" applyFont="1" applyFill="1" applyBorder="1" applyAlignment="1">
      <alignment vertical="center" shrinkToFit="1"/>
    </xf>
    <xf numFmtId="0" fontId="82" fillId="34" borderId="44" xfId="0" applyFont="1" applyFill="1" applyBorder="1" applyAlignment="1">
      <alignment vertical="center" shrinkToFit="1"/>
    </xf>
    <xf numFmtId="0" fontId="81" fillId="34" borderId="17" xfId="0" applyFont="1" applyFill="1" applyBorder="1" applyAlignment="1">
      <alignment horizontal="center" vertical="center"/>
    </xf>
    <xf numFmtId="0" fontId="6" fillId="0" borderId="56" xfId="61" applyFont="1" applyFill="1" applyBorder="1" applyAlignment="1">
      <alignment horizontal="center" vertical="center" shrinkToFit="1"/>
      <protection/>
    </xf>
    <xf numFmtId="0" fontId="74" fillId="0" borderId="24" xfId="0" applyFont="1" applyBorder="1" applyAlignment="1">
      <alignment horizontal="center" vertical="center"/>
    </xf>
    <xf numFmtId="0" fontId="74" fillId="0" borderId="0" xfId="0" applyFont="1" applyBorder="1" applyAlignment="1">
      <alignment horizontal="center" vertical="center"/>
    </xf>
    <xf numFmtId="0" fontId="70" fillId="0" borderId="11" xfId="0" applyFont="1" applyBorder="1" applyAlignment="1" applyProtection="1">
      <alignment horizontal="center" vertical="center"/>
      <protection locked="0"/>
    </xf>
    <xf numFmtId="0" fontId="70" fillId="0" borderId="54" xfId="0" applyFont="1" applyBorder="1" applyAlignment="1">
      <alignment horizontal="center" vertical="center"/>
    </xf>
    <xf numFmtId="0" fontId="70" fillId="0" borderId="55" xfId="0" applyFont="1" applyBorder="1" applyAlignment="1">
      <alignment horizontal="center" vertical="center"/>
    </xf>
    <xf numFmtId="0" fontId="91" fillId="0" borderId="54" xfId="0" applyFont="1" applyBorder="1" applyAlignment="1" applyProtection="1">
      <alignment horizontal="center" vertical="center"/>
      <protection locked="0"/>
    </xf>
    <xf numFmtId="0" fontId="91" fillId="0" borderId="55" xfId="0" applyFont="1" applyBorder="1" applyAlignment="1" applyProtection="1">
      <alignment horizontal="center" vertical="center"/>
      <protection locked="0"/>
    </xf>
    <xf numFmtId="0" fontId="90" fillId="0" borderId="11" xfId="0" applyFont="1" applyBorder="1" applyAlignment="1">
      <alignment horizontal="center" vertical="center"/>
    </xf>
    <xf numFmtId="0" fontId="70" fillId="0" borderId="10" xfId="0" applyFont="1" applyBorder="1" applyAlignment="1">
      <alignment horizontal="center" vertical="center"/>
    </xf>
    <xf numFmtId="0" fontId="70" fillId="0" borderId="26" xfId="0" applyFont="1" applyBorder="1" applyAlignment="1">
      <alignment horizontal="center" vertical="center"/>
    </xf>
    <xf numFmtId="0" fontId="70" fillId="0" borderId="51" xfId="0" applyFont="1" applyBorder="1" applyAlignment="1">
      <alignment horizontal="center" vertical="center" textRotation="255"/>
    </xf>
    <xf numFmtId="0" fontId="70" fillId="0" borderId="57" xfId="0" applyFont="1" applyBorder="1" applyAlignment="1">
      <alignment horizontal="center" vertical="center" textRotation="255"/>
    </xf>
    <xf numFmtId="0" fontId="70" fillId="0" borderId="52" xfId="0" applyFont="1" applyBorder="1" applyAlignment="1">
      <alignment horizontal="center" vertical="center" textRotation="255"/>
    </xf>
    <xf numFmtId="0" fontId="93" fillId="0" borderId="10" xfId="0" applyFont="1" applyBorder="1" applyAlignment="1">
      <alignment horizontal="center" vertical="center"/>
    </xf>
    <xf numFmtId="0" fontId="70" fillId="0" borderId="0" xfId="0" applyFont="1" applyBorder="1" applyAlignment="1">
      <alignment horizontal="center" vertical="center"/>
    </xf>
    <xf numFmtId="0" fontId="94" fillId="0" borderId="10" xfId="0" applyFont="1" applyBorder="1" applyAlignment="1">
      <alignment horizontal="center" vertical="center"/>
    </xf>
    <xf numFmtId="0" fontId="70" fillId="0" borderId="12" xfId="0" applyFont="1" applyBorder="1" applyAlignment="1">
      <alignment horizontal="center" vertical="center"/>
    </xf>
    <xf numFmtId="0" fontId="70" fillId="0" borderId="10" xfId="0" applyFont="1" applyBorder="1" applyAlignment="1">
      <alignment horizontal="center" vertical="center" shrinkToFit="1"/>
    </xf>
    <xf numFmtId="0" fontId="2" fillId="0" borderId="30" xfId="61" applyFont="1" applyFill="1" applyBorder="1" applyAlignment="1">
      <alignment horizontal="center" vertical="center" shrinkToFit="1"/>
      <protection/>
    </xf>
    <xf numFmtId="0" fontId="2" fillId="0" borderId="41" xfId="61" applyFont="1" applyFill="1" applyBorder="1" applyAlignment="1">
      <alignment horizontal="center" vertical="center" shrinkToFit="1"/>
      <protection/>
    </xf>
    <xf numFmtId="0" fontId="2" fillId="0" borderId="13" xfId="61" applyFont="1" applyFill="1" applyBorder="1" applyAlignment="1">
      <alignment horizontal="center" vertical="center" shrinkToFit="1"/>
      <protection/>
    </xf>
    <xf numFmtId="0" fontId="2" fillId="0" borderId="25" xfId="61" applyFont="1" applyFill="1" applyBorder="1" applyAlignment="1">
      <alignment horizontal="center" vertical="center" shrinkToFit="1"/>
      <protection/>
    </xf>
    <xf numFmtId="0" fontId="72" fillId="0" borderId="30" xfId="0" applyFont="1" applyBorder="1" applyAlignment="1" applyProtection="1">
      <alignment horizontal="center" vertical="center"/>
      <protection locked="0"/>
    </xf>
    <xf numFmtId="0" fontId="72" fillId="0" borderId="32" xfId="0" applyFont="1" applyBorder="1" applyAlignment="1" applyProtection="1">
      <alignment horizontal="center" vertical="center"/>
      <protection locked="0"/>
    </xf>
    <xf numFmtId="0" fontId="73" fillId="0" borderId="10" xfId="0" applyFont="1" applyBorder="1" applyAlignment="1">
      <alignment horizontal="center" vertical="center"/>
    </xf>
    <xf numFmtId="0" fontId="73" fillId="0" borderId="10" xfId="0" applyFont="1" applyBorder="1" applyAlignment="1" applyProtection="1">
      <alignment horizontal="center" vertical="center"/>
      <protection locked="0"/>
    </xf>
    <xf numFmtId="0" fontId="72" fillId="0" borderId="41" xfId="0" applyFont="1" applyBorder="1" applyAlignment="1" applyProtection="1">
      <alignment horizontal="center" vertical="center"/>
      <protection locked="0"/>
    </xf>
    <xf numFmtId="0" fontId="70" fillId="0" borderId="24" xfId="0" applyFont="1" applyBorder="1" applyAlignment="1">
      <alignment horizontal="center" vertical="center"/>
    </xf>
    <xf numFmtId="0" fontId="74" fillId="0" borderId="0" xfId="0" applyFont="1" applyBorder="1" applyAlignment="1" applyProtection="1">
      <alignment horizontal="center" vertical="center"/>
      <protection locked="0"/>
    </xf>
    <xf numFmtId="0" fontId="74" fillId="0" borderId="24" xfId="0" applyFont="1" applyBorder="1" applyAlignment="1" applyProtection="1">
      <alignment horizontal="center" vertical="center"/>
      <protection locked="0"/>
    </xf>
    <xf numFmtId="0" fontId="4" fillId="0" borderId="58" xfId="61" applyFill="1" applyBorder="1" applyAlignment="1">
      <alignment horizontal="center" vertical="center" shrinkToFit="1"/>
      <protection/>
    </xf>
    <xf numFmtId="0" fontId="4" fillId="0" borderId="59" xfId="61" applyFill="1" applyBorder="1" applyAlignment="1">
      <alignment horizontal="center" vertical="center" shrinkToFit="1"/>
      <protection/>
    </xf>
    <xf numFmtId="0" fontId="4" fillId="0" borderId="60" xfId="61" applyFill="1" applyBorder="1" applyAlignment="1">
      <alignment horizontal="center" vertical="center" shrinkToFit="1"/>
      <protection/>
    </xf>
    <xf numFmtId="0" fontId="70" fillId="0" borderId="61" xfId="0" applyFont="1" applyBorder="1" applyAlignment="1">
      <alignment horizontal="center" vertical="center"/>
    </xf>
    <xf numFmtId="0" fontId="4" fillId="0" borderId="30" xfId="61" applyFill="1" applyBorder="1" applyAlignment="1" applyProtection="1">
      <alignment horizontal="center" vertical="center"/>
      <protection locked="0"/>
    </xf>
    <xf numFmtId="0" fontId="4" fillId="0" borderId="28" xfId="61" applyFill="1" applyBorder="1" applyAlignment="1" applyProtection="1">
      <alignment horizontal="center" vertical="center"/>
      <protection locked="0"/>
    </xf>
    <xf numFmtId="0" fontId="4" fillId="0" borderId="62" xfId="61" applyFill="1" applyBorder="1" applyAlignment="1" applyProtection="1">
      <alignment horizontal="center" vertical="center"/>
      <protection locked="0"/>
    </xf>
    <xf numFmtId="0" fontId="4" fillId="0" borderId="41" xfId="61" applyFill="1" applyBorder="1" applyAlignment="1" applyProtection="1">
      <alignment horizontal="center" vertical="center"/>
      <protection locked="0"/>
    </xf>
    <xf numFmtId="0" fontId="4" fillId="0" borderId="24" xfId="61" applyFill="1" applyBorder="1" applyAlignment="1" applyProtection="1">
      <alignment horizontal="center" vertical="center"/>
      <protection locked="0"/>
    </xf>
    <xf numFmtId="0" fontId="4" fillId="0" borderId="63" xfId="61" applyFill="1" applyBorder="1" applyAlignment="1" applyProtection="1">
      <alignment horizontal="center" vertical="center"/>
      <protection locked="0"/>
    </xf>
    <xf numFmtId="0" fontId="94" fillId="0" borderId="61" xfId="0" applyFont="1" applyBorder="1" applyAlignment="1">
      <alignment horizontal="center" vertical="center"/>
    </xf>
    <xf numFmtId="0" fontId="70" fillId="0" borderId="61" xfId="0" applyFont="1" applyBorder="1" applyAlignment="1">
      <alignment horizontal="center" vertical="center" shrinkToFit="1"/>
    </xf>
    <xf numFmtId="0" fontId="4" fillId="0" borderId="64" xfId="61" applyFill="1" applyBorder="1" applyAlignment="1" applyProtection="1">
      <alignment horizontal="center" vertical="center"/>
      <protection locked="0"/>
    </xf>
    <xf numFmtId="0" fontId="4" fillId="0" borderId="29" xfId="61" applyFill="1" applyBorder="1" applyAlignment="1" applyProtection="1">
      <alignment horizontal="center" vertical="center"/>
      <protection locked="0"/>
    </xf>
    <xf numFmtId="0" fontId="4" fillId="0" borderId="65" xfId="61" applyFill="1" applyBorder="1" applyAlignment="1" applyProtection="1">
      <alignment horizontal="center" vertical="center"/>
      <protection locked="0"/>
    </xf>
    <xf numFmtId="0" fontId="4" fillId="0" borderId="66" xfId="61" applyFill="1" applyBorder="1" applyAlignment="1">
      <alignment horizontal="center" vertical="center" shrinkToFit="1"/>
      <protection/>
    </xf>
    <xf numFmtId="0" fontId="4" fillId="0" borderId="67" xfId="61" applyFill="1" applyBorder="1" applyAlignment="1">
      <alignment horizontal="center" vertical="center" shrinkToFit="1"/>
      <protection/>
    </xf>
    <xf numFmtId="0" fontId="4" fillId="0" borderId="25" xfId="61" applyFill="1" applyBorder="1" applyAlignment="1">
      <alignment horizontal="center" vertical="center" shrinkToFit="1"/>
      <protection/>
    </xf>
    <xf numFmtId="0" fontId="4" fillId="0" borderId="67" xfId="61" applyFill="1" applyBorder="1" applyAlignment="1">
      <alignment horizontal="center" vertical="distributed"/>
      <protection/>
    </xf>
    <xf numFmtId="0" fontId="4" fillId="0" borderId="25" xfId="61" applyFill="1" applyBorder="1" applyAlignment="1">
      <alignment horizontal="center" vertical="distributed"/>
      <protection/>
    </xf>
    <xf numFmtId="0" fontId="4" fillId="0" borderId="67" xfId="61" applyFill="1" applyBorder="1" applyAlignment="1">
      <alignment horizontal="center" vertical="center"/>
      <protection/>
    </xf>
    <xf numFmtId="0" fontId="4" fillId="0" borderId="25" xfId="61" applyFill="1" applyBorder="1" applyAlignment="1">
      <alignment horizontal="center" vertical="center"/>
      <protection/>
    </xf>
    <xf numFmtId="0" fontId="4" fillId="0" borderId="68" xfId="61" applyFill="1" applyBorder="1" applyAlignment="1">
      <alignment horizontal="center" vertical="center"/>
      <protection/>
    </xf>
    <xf numFmtId="0" fontId="4" fillId="0" borderId="56" xfId="61" applyFill="1" applyBorder="1" applyAlignment="1">
      <alignment horizontal="center" vertical="center"/>
      <protection/>
    </xf>
    <xf numFmtId="0" fontId="4" fillId="0" borderId="69" xfId="61" applyFill="1" applyBorder="1" applyAlignment="1">
      <alignment horizontal="center" vertical="center"/>
      <protection/>
    </xf>
    <xf numFmtId="0" fontId="4" fillId="0" borderId="41" xfId="61" applyFill="1" applyBorder="1" applyAlignment="1">
      <alignment horizontal="center" vertical="center"/>
      <protection/>
    </xf>
    <xf numFmtId="0" fontId="4" fillId="0" borderId="24" xfId="61" applyFill="1" applyBorder="1" applyAlignment="1">
      <alignment horizontal="center" vertical="center"/>
      <protection/>
    </xf>
    <xf numFmtId="0" fontId="4" fillId="0" borderId="63" xfId="61" applyFill="1" applyBorder="1" applyAlignment="1">
      <alignment horizontal="center" vertical="center"/>
      <protection/>
    </xf>
    <xf numFmtId="0" fontId="70" fillId="0" borderId="13" xfId="0" applyFont="1" applyBorder="1" applyAlignment="1" applyProtection="1">
      <alignment horizontal="center" vertical="center" shrinkToFit="1"/>
      <protection locked="0"/>
    </xf>
    <xf numFmtId="0" fontId="70" fillId="0" borderId="25" xfId="0" applyFont="1" applyBorder="1" applyAlignment="1" applyProtection="1">
      <alignment horizontal="center" vertical="center" shrinkToFit="1"/>
      <protection locked="0"/>
    </xf>
    <xf numFmtId="0" fontId="5" fillId="0" borderId="28" xfId="61" applyFont="1" applyFill="1" applyBorder="1" applyAlignment="1">
      <alignment horizontal="center" shrinkToFit="1"/>
      <protection/>
    </xf>
    <xf numFmtId="0" fontId="5" fillId="0" borderId="29" xfId="61" applyFont="1" applyFill="1" applyBorder="1" applyAlignment="1">
      <alignment horizontal="center" shrinkToFit="1"/>
      <protection/>
    </xf>
    <xf numFmtId="0" fontId="70" fillId="0" borderId="14" xfId="0" applyFont="1" applyBorder="1" applyAlignment="1">
      <alignment horizontal="center"/>
    </xf>
    <xf numFmtId="0" fontId="70" fillId="0" borderId="24" xfId="0" applyFont="1" applyBorder="1" applyAlignment="1">
      <alignment horizontal="center"/>
    </xf>
    <xf numFmtId="0" fontId="72" fillId="0" borderId="0" xfId="0" applyFont="1" applyAlignment="1" applyProtection="1">
      <alignment horizontal="center" vertical="center"/>
      <protection locked="0"/>
    </xf>
    <xf numFmtId="0" fontId="70" fillId="0" borderId="13" xfId="0" applyFont="1" applyBorder="1" applyAlignment="1">
      <alignment horizontal="center" vertical="center"/>
    </xf>
    <xf numFmtId="0" fontId="70" fillId="0" borderId="25" xfId="0" applyFont="1" applyBorder="1" applyAlignment="1">
      <alignment horizontal="center" vertical="center"/>
    </xf>
    <xf numFmtId="0" fontId="74" fillId="0" borderId="13" xfId="0" applyFont="1" applyBorder="1" applyAlignment="1" applyProtection="1">
      <alignment horizontal="center" vertical="center"/>
      <protection locked="0"/>
    </xf>
    <xf numFmtId="0" fontId="74" fillId="0" borderId="25" xfId="0" applyFont="1" applyBorder="1" applyAlignment="1" applyProtection="1">
      <alignment horizontal="center" vertical="center"/>
      <protection locked="0"/>
    </xf>
    <xf numFmtId="0" fontId="74" fillId="0" borderId="30" xfId="0" applyFont="1" applyBorder="1" applyAlignment="1">
      <alignment horizontal="center" vertical="center"/>
    </xf>
    <xf numFmtId="0" fontId="74" fillId="0" borderId="28" xfId="0" applyFont="1" applyBorder="1" applyAlignment="1">
      <alignment horizontal="center" vertical="center"/>
    </xf>
    <xf numFmtId="0" fontId="74" fillId="0" borderId="31" xfId="0" applyFont="1" applyBorder="1" applyAlignment="1">
      <alignment horizontal="center" vertical="center"/>
    </xf>
    <xf numFmtId="0" fontId="74" fillId="0" borderId="41" xfId="0" applyFont="1" applyBorder="1" applyAlignment="1">
      <alignment horizontal="center" vertical="center"/>
    </xf>
    <xf numFmtId="0" fontId="74" fillId="0" borderId="43" xfId="0" applyFont="1" applyBorder="1" applyAlignment="1">
      <alignment horizontal="center" vertical="center"/>
    </xf>
    <xf numFmtId="0" fontId="70" fillId="0" borderId="13" xfId="0" applyFont="1" applyBorder="1" applyAlignment="1" applyProtection="1">
      <alignment horizontal="center" vertical="center"/>
      <protection/>
    </xf>
    <xf numFmtId="0" fontId="70" fillId="0" borderId="25" xfId="0" applyFont="1" applyBorder="1" applyAlignment="1" applyProtection="1">
      <alignment horizontal="center" vertical="center"/>
      <protection/>
    </xf>
    <xf numFmtId="0" fontId="70" fillId="0" borderId="0" xfId="0" applyFont="1" applyAlignment="1">
      <alignment horizontal="center" vertical="center"/>
    </xf>
    <xf numFmtId="0" fontId="95" fillId="0" borderId="32" xfId="0" applyFont="1" applyBorder="1" applyAlignment="1">
      <alignment horizontal="center" vertical="center" textRotation="255"/>
    </xf>
    <xf numFmtId="0" fontId="70" fillId="0" borderId="12" xfId="0" applyFont="1" applyBorder="1" applyAlignment="1" applyProtection="1">
      <alignment horizontal="center" vertical="center"/>
      <protection locked="0"/>
    </xf>
    <xf numFmtId="0" fontId="70" fillId="0" borderId="14" xfId="0" applyFont="1" applyBorder="1" applyAlignment="1" applyProtection="1">
      <alignment horizontal="center" vertical="center"/>
      <protection locked="0"/>
    </xf>
    <xf numFmtId="0" fontId="70" fillId="0" borderId="15" xfId="0" applyFont="1" applyBorder="1" applyAlignment="1" applyProtection="1">
      <alignment horizontal="center" vertical="center"/>
      <protection locked="0"/>
    </xf>
    <xf numFmtId="0" fontId="70" fillId="0" borderId="44" xfId="0" applyFont="1" applyBorder="1" applyAlignment="1" applyProtection="1">
      <alignment horizontal="center" vertical="center"/>
      <protection locked="0"/>
    </xf>
    <xf numFmtId="0" fontId="96" fillId="0" borderId="0" xfId="0" applyFont="1" applyAlignment="1">
      <alignment horizontal="center"/>
    </xf>
    <xf numFmtId="0" fontId="96" fillId="0" borderId="24" xfId="0" applyFont="1" applyBorder="1" applyAlignment="1">
      <alignment horizontal="center"/>
    </xf>
    <xf numFmtId="56" fontId="74" fillId="0" borderId="13" xfId="0" applyNumberFormat="1" applyFont="1" applyBorder="1" applyAlignment="1" applyProtection="1">
      <alignment horizontal="center" vertical="center"/>
      <protection locked="0"/>
    </xf>
    <xf numFmtId="0" fontId="74" fillId="0" borderId="32" xfId="0" applyFont="1" applyBorder="1" applyAlignment="1" applyProtection="1">
      <alignment horizontal="right" vertical="center" shrinkToFit="1"/>
      <protection locked="0"/>
    </xf>
    <xf numFmtId="0" fontId="74" fillId="0" borderId="0" xfId="0" applyFont="1" applyAlignment="1" applyProtection="1">
      <alignment horizontal="right" vertical="center" shrinkToFit="1"/>
      <protection locked="0"/>
    </xf>
    <xf numFmtId="0" fontId="70" fillId="0" borderId="70" xfId="0" applyFont="1" applyBorder="1" applyAlignment="1" applyProtection="1">
      <alignment horizontal="center" vertical="center"/>
      <protection locked="0"/>
    </xf>
    <xf numFmtId="0" fontId="70" fillId="0" borderId="28" xfId="0" applyFont="1" applyBorder="1" applyAlignment="1" applyProtection="1">
      <alignment horizontal="center" vertical="center"/>
      <protection locked="0"/>
    </xf>
    <xf numFmtId="0" fontId="70" fillId="0" borderId="31" xfId="0" applyFont="1" applyBorder="1" applyAlignment="1" applyProtection="1">
      <alignment horizontal="center" vertical="center"/>
      <protection locked="0"/>
    </xf>
    <xf numFmtId="0" fontId="70" fillId="0" borderId="71" xfId="0" applyFont="1" applyBorder="1" applyAlignment="1" applyProtection="1">
      <alignment horizontal="center" vertical="center"/>
      <protection locked="0"/>
    </xf>
    <xf numFmtId="0" fontId="70" fillId="0" borderId="0" xfId="0" applyFont="1" applyBorder="1" applyAlignment="1" applyProtection="1">
      <alignment horizontal="center" vertical="center"/>
      <protection locked="0"/>
    </xf>
    <xf numFmtId="0" fontId="70" fillId="0" borderId="33" xfId="0" applyFont="1" applyBorder="1" applyAlignment="1" applyProtection="1">
      <alignment horizontal="center" vertical="center"/>
      <protection locked="0"/>
    </xf>
    <xf numFmtId="0" fontId="70" fillId="0" borderId="72" xfId="0" applyFont="1" applyBorder="1" applyAlignment="1" applyProtection="1">
      <alignment horizontal="center" vertical="center"/>
      <protection locked="0"/>
    </xf>
    <xf numFmtId="0" fontId="70" fillId="0" borderId="24" xfId="0" applyFont="1" applyBorder="1" applyAlignment="1" applyProtection="1">
      <alignment horizontal="center" vertical="center"/>
      <protection locked="0"/>
    </xf>
    <xf numFmtId="0" fontId="70" fillId="0" borderId="43" xfId="0" applyFont="1" applyBorder="1" applyAlignment="1" applyProtection="1">
      <alignment horizontal="center" vertical="center"/>
      <protection locked="0"/>
    </xf>
    <xf numFmtId="0" fontId="70" fillId="34" borderId="51" xfId="0" applyFont="1" applyFill="1" applyBorder="1" applyAlignment="1">
      <alignment horizontal="center" vertical="center" textRotation="255"/>
    </xf>
    <xf numFmtId="0" fontId="70" fillId="34" borderId="57" xfId="0" applyFont="1" applyFill="1" applyBorder="1" applyAlignment="1">
      <alignment horizontal="center" vertical="center" textRotation="255"/>
    </xf>
    <xf numFmtId="0" fontId="70" fillId="34" borderId="52" xfId="0" applyFont="1" applyFill="1" applyBorder="1" applyAlignment="1">
      <alignment horizontal="center" vertical="center" textRotation="255"/>
    </xf>
    <xf numFmtId="0" fontId="70" fillId="0" borderId="30" xfId="0" applyFont="1" applyBorder="1" applyAlignment="1" applyProtection="1">
      <alignment horizontal="center" vertical="center"/>
      <protection locked="0"/>
    </xf>
    <xf numFmtId="0" fontId="70" fillId="0" borderId="32" xfId="0" applyFont="1" applyBorder="1" applyAlignment="1" applyProtection="1">
      <alignment horizontal="center" vertical="center"/>
      <protection locked="0"/>
    </xf>
    <xf numFmtId="0" fontId="70" fillId="0" borderId="73" xfId="0" applyFont="1" applyBorder="1" applyAlignment="1" applyProtection="1">
      <alignment horizontal="center" vertical="center"/>
      <protection locked="0"/>
    </xf>
    <xf numFmtId="0" fontId="70" fillId="0" borderId="74" xfId="0" applyFont="1" applyBorder="1" applyAlignment="1" applyProtection="1">
      <alignment horizontal="center" vertical="center"/>
      <protection locked="0"/>
    </xf>
    <xf numFmtId="0" fontId="70" fillId="0" borderId="75" xfId="0" applyFont="1" applyBorder="1" applyAlignment="1" applyProtection="1">
      <alignment horizontal="center" vertical="center"/>
      <protection locked="0"/>
    </xf>
    <xf numFmtId="0" fontId="70" fillId="0" borderId="76" xfId="0" applyFont="1" applyBorder="1" applyAlignment="1" applyProtection="1">
      <alignment horizontal="center" vertical="center"/>
      <protection locked="0"/>
    </xf>
    <xf numFmtId="0" fontId="70" fillId="0" borderId="41"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43">
    <dxf>
      <font>
        <color auto="1"/>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color auto="1"/>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13</xdr:col>
      <xdr:colOff>533400</xdr:colOff>
      <xdr:row>26</xdr:row>
      <xdr:rowOff>104775</xdr:rowOff>
    </xdr:to>
    <xdr:sp>
      <xdr:nvSpPr>
        <xdr:cNvPr id="1" name="正方形/長方形 3"/>
        <xdr:cNvSpPr>
          <a:spLocks/>
        </xdr:cNvSpPr>
      </xdr:nvSpPr>
      <xdr:spPr>
        <a:xfrm>
          <a:off x="19050" y="28575"/>
          <a:ext cx="8315325" cy="4572000"/>
        </a:xfrm>
        <a:prstGeom prst="rect">
          <a:avLst/>
        </a:prstGeom>
        <a:gradFill rotWithShape="1">
          <a:gsLst>
            <a:gs pos="0">
              <a:srgbClr val="5E9EFF"/>
            </a:gs>
            <a:gs pos="39999">
              <a:srgbClr val="85C2FF"/>
            </a:gs>
            <a:gs pos="70000">
              <a:srgbClr val="C4D6EB"/>
            </a:gs>
            <a:gs pos="100000">
              <a:srgbClr val="FFEBFA"/>
            </a:gs>
          </a:gsLst>
          <a:lin ang="5400000" scaled="1"/>
        </a:gra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0</xdr:col>
      <xdr:colOff>0</xdr:colOff>
      <xdr:row>0</xdr:row>
      <xdr:rowOff>114300</xdr:rowOff>
    </xdr:from>
    <xdr:ext cx="7762875" cy="3333750"/>
    <xdr:sp>
      <xdr:nvSpPr>
        <xdr:cNvPr id="2" name="正方形/長方形 2"/>
        <xdr:cNvSpPr>
          <a:spLocks/>
        </xdr:cNvSpPr>
      </xdr:nvSpPr>
      <xdr:spPr>
        <a:xfrm>
          <a:off x="0" y="114300"/>
          <a:ext cx="7762875" cy="3333750"/>
        </a:xfrm>
        <a:prstGeom prst="rect">
          <a:avLst/>
        </a:prstGeom>
        <a:noFill/>
        <a:ln w="9525" cmpd="sng">
          <a:noFill/>
        </a:ln>
      </xdr:spPr>
      <xdr:txBody>
        <a:bodyPr vertOverflow="clip" wrap="square"/>
        <a:p>
          <a:pPr algn="l">
            <a:defRPr/>
          </a:pPr>
          <a:r>
            <a:rPr lang="en-US" cap="none" sz="30000" b="1" i="0" u="none" baseline="0">
              <a:solidFill>
                <a:srgbClr val="000000"/>
              </a:solidFill>
            </a:rPr>
            <a:t>BMW</a:t>
          </a:r>
        </a:p>
      </xdr:txBody>
    </xdr:sp>
    <xdr:clientData/>
  </xdr:oneCellAnchor>
  <xdr:twoCellAnchor>
    <xdr:from>
      <xdr:col>1</xdr:col>
      <xdr:colOff>304800</xdr:colOff>
      <xdr:row>4</xdr:row>
      <xdr:rowOff>114300</xdr:rowOff>
    </xdr:from>
    <xdr:to>
      <xdr:col>11</xdr:col>
      <xdr:colOff>314325</xdr:colOff>
      <xdr:row>7</xdr:row>
      <xdr:rowOff>19050</xdr:rowOff>
    </xdr:to>
    <xdr:sp>
      <xdr:nvSpPr>
        <xdr:cNvPr id="3" name="テキスト ボックス 4"/>
        <xdr:cNvSpPr txBox="1">
          <a:spLocks noChangeArrowheads="1"/>
        </xdr:cNvSpPr>
      </xdr:nvSpPr>
      <xdr:spPr>
        <a:xfrm>
          <a:off x="904875" y="819150"/>
          <a:ext cx="6010275" cy="419100"/>
        </a:xfrm>
        <a:prstGeom prst="rect">
          <a:avLst/>
        </a:prstGeom>
        <a:noFill/>
        <a:ln w="9525" cmpd="sng">
          <a:noFill/>
        </a:ln>
      </xdr:spPr>
      <xdr:txBody>
        <a:bodyPr vertOverflow="clip" wrap="square"/>
        <a:p>
          <a:pPr algn="l">
            <a:defRPr/>
          </a:pPr>
          <a:r>
            <a:rPr lang="en-US" cap="none" sz="2000" b="0" i="0" u="none" baseline="0">
              <a:solidFill>
                <a:srgbClr val="000000"/>
              </a:solidFill>
            </a:rPr>
            <a:t>ぶんしょ作りを　　　　　　　もっと　　　　　　　　　わかりやすく！</a:t>
          </a:r>
        </a:p>
      </xdr:txBody>
    </xdr:sp>
    <xdr:clientData/>
  </xdr:twoCellAnchor>
  <xdr:twoCellAnchor>
    <xdr:from>
      <xdr:col>11</xdr:col>
      <xdr:colOff>180975</xdr:colOff>
      <xdr:row>19</xdr:row>
      <xdr:rowOff>161925</xdr:rowOff>
    </xdr:from>
    <xdr:to>
      <xdr:col>13</xdr:col>
      <xdr:colOff>523875</xdr:colOff>
      <xdr:row>23</xdr:row>
      <xdr:rowOff>104775</xdr:rowOff>
    </xdr:to>
    <xdr:sp>
      <xdr:nvSpPr>
        <xdr:cNvPr id="4" name="テキスト ボックス 5"/>
        <xdr:cNvSpPr txBox="1">
          <a:spLocks noChangeArrowheads="1"/>
        </xdr:cNvSpPr>
      </xdr:nvSpPr>
      <xdr:spPr>
        <a:xfrm>
          <a:off x="6781800" y="3457575"/>
          <a:ext cx="1543050" cy="628650"/>
        </a:xfrm>
        <a:prstGeom prst="rect">
          <a:avLst/>
        </a:prstGeom>
        <a:noFill/>
        <a:ln w="9525" cmpd="sng">
          <a:noFill/>
        </a:ln>
      </xdr:spPr>
      <xdr:txBody>
        <a:bodyPr vertOverflow="clip" wrap="square"/>
        <a:p>
          <a:pPr algn="l">
            <a:defRPr/>
          </a:pPr>
          <a:r>
            <a:rPr lang="en-US" cap="none" sz="3600" b="0" i="0" u="none" baseline="0">
              <a:solidFill>
                <a:srgbClr val="000000"/>
              </a:solidFill>
              <a:latin typeface="Calibri"/>
              <a:ea typeface="Calibri"/>
              <a:cs typeface="Calibri"/>
            </a:rPr>
            <a:t>5 Series</a:t>
          </a:r>
        </a:p>
      </xdr:txBody>
    </xdr:sp>
    <xdr:clientData/>
  </xdr:twoCellAnchor>
  <xdr:twoCellAnchor>
    <xdr:from>
      <xdr:col>12</xdr:col>
      <xdr:colOff>209550</xdr:colOff>
      <xdr:row>24</xdr:row>
      <xdr:rowOff>152400</xdr:rowOff>
    </xdr:from>
    <xdr:to>
      <xdr:col>13</xdr:col>
      <xdr:colOff>552450</xdr:colOff>
      <xdr:row>26</xdr:row>
      <xdr:rowOff>123825</xdr:rowOff>
    </xdr:to>
    <xdr:sp>
      <xdr:nvSpPr>
        <xdr:cNvPr id="5" name="テキスト ボックス 6"/>
        <xdr:cNvSpPr txBox="1">
          <a:spLocks noChangeArrowheads="1"/>
        </xdr:cNvSpPr>
      </xdr:nvSpPr>
      <xdr:spPr>
        <a:xfrm>
          <a:off x="7410450" y="4305300"/>
          <a:ext cx="94297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Naoki  Shibata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okishibata1976@yahoo.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R48"/>
  <sheetViews>
    <sheetView zoomScalePageLayoutView="0" workbookViewId="0" topLeftCell="A1">
      <selection activeCell="O18" sqref="O18:R18"/>
    </sheetView>
  </sheetViews>
  <sheetFormatPr defaultColWidth="9.140625" defaultRowHeight="15"/>
  <cols>
    <col min="1" max="16384" width="9.00390625" style="79" customWidth="1"/>
  </cols>
  <sheetData>
    <row r="2" spans="15:18" ht="13.5">
      <c r="O2" s="189" t="s">
        <v>95</v>
      </c>
      <c r="P2" s="190"/>
      <c r="Q2" s="190"/>
      <c r="R2" s="191"/>
    </row>
    <row r="3" spans="15:18" ht="13.5">
      <c r="O3" s="189"/>
      <c r="P3" s="190"/>
      <c r="Q3" s="190"/>
      <c r="R3" s="191"/>
    </row>
    <row r="4" spans="15:18" ht="13.5">
      <c r="O4" s="192" t="s">
        <v>212</v>
      </c>
      <c r="P4" s="193"/>
      <c r="Q4" s="193"/>
      <c r="R4" s="194"/>
    </row>
    <row r="5" spans="15:18" ht="13.5">
      <c r="O5" s="195"/>
      <c r="P5" s="196"/>
      <c r="Q5" s="196"/>
      <c r="R5" s="197"/>
    </row>
    <row r="6" spans="15:18" ht="13.5">
      <c r="O6" s="195"/>
      <c r="P6" s="196"/>
      <c r="Q6" s="196"/>
      <c r="R6" s="197"/>
    </row>
    <row r="7" spans="15:18" ht="13.5">
      <c r="O7" s="195"/>
      <c r="P7" s="196"/>
      <c r="Q7" s="196"/>
      <c r="R7" s="197"/>
    </row>
    <row r="8" spans="15:18" ht="13.5">
      <c r="O8" s="195"/>
      <c r="P8" s="196"/>
      <c r="Q8" s="196"/>
      <c r="R8" s="197"/>
    </row>
    <row r="9" spans="15:18" ht="13.5">
      <c r="O9" s="195"/>
      <c r="P9" s="196"/>
      <c r="Q9" s="196"/>
      <c r="R9" s="197"/>
    </row>
    <row r="10" spans="15:18" ht="13.5">
      <c r="O10" s="195"/>
      <c r="P10" s="196"/>
      <c r="Q10" s="196"/>
      <c r="R10" s="197"/>
    </row>
    <row r="11" spans="15:18" ht="13.5">
      <c r="O11" s="195"/>
      <c r="P11" s="196"/>
      <c r="Q11" s="196"/>
      <c r="R11" s="197"/>
    </row>
    <row r="12" spans="15:18" ht="13.5">
      <c r="O12" s="195"/>
      <c r="P12" s="196"/>
      <c r="Q12" s="196"/>
      <c r="R12" s="197"/>
    </row>
    <row r="13" spans="15:18" ht="13.5">
      <c r="O13" s="198"/>
      <c r="P13" s="199"/>
      <c r="Q13" s="199"/>
      <c r="R13" s="200"/>
    </row>
    <row r="15" spans="15:18" ht="13.5">
      <c r="O15" s="201" t="s">
        <v>96</v>
      </c>
      <c r="P15" s="201"/>
      <c r="Q15" s="201"/>
      <c r="R15" s="201"/>
    </row>
    <row r="16" spans="15:18" ht="13.5">
      <c r="O16" s="188" t="s">
        <v>97</v>
      </c>
      <c r="P16" s="188"/>
      <c r="Q16" s="188"/>
      <c r="R16" s="188"/>
    </row>
    <row r="17" spans="15:18" ht="13.5">
      <c r="O17" s="188" t="s">
        <v>103</v>
      </c>
      <c r="P17" s="188"/>
      <c r="Q17" s="188"/>
      <c r="R17" s="188"/>
    </row>
    <row r="18" spans="15:18" ht="13.5">
      <c r="O18" s="188" t="s">
        <v>102</v>
      </c>
      <c r="P18" s="188"/>
      <c r="Q18" s="188"/>
      <c r="R18" s="188"/>
    </row>
    <row r="19" spans="15:18" ht="13.5">
      <c r="O19" s="188" t="s">
        <v>104</v>
      </c>
      <c r="P19" s="188"/>
      <c r="Q19" s="188"/>
      <c r="R19" s="188"/>
    </row>
    <row r="20" spans="15:18" ht="13.5">
      <c r="O20" s="188" t="s">
        <v>105</v>
      </c>
      <c r="P20" s="188"/>
      <c r="Q20" s="188"/>
      <c r="R20" s="188"/>
    </row>
    <row r="21" spans="15:18" ht="13.5">
      <c r="O21" s="188" t="s">
        <v>180</v>
      </c>
      <c r="P21" s="188"/>
      <c r="Q21" s="188"/>
      <c r="R21" s="188"/>
    </row>
    <row r="22" spans="15:18" ht="13.5">
      <c r="O22" s="188"/>
      <c r="P22" s="188"/>
      <c r="Q22" s="188"/>
      <c r="R22" s="188"/>
    </row>
    <row r="23" spans="15:18" ht="13.5">
      <c r="O23" s="188" t="s">
        <v>98</v>
      </c>
      <c r="P23" s="188"/>
      <c r="Q23" s="188"/>
      <c r="R23" s="188"/>
    </row>
    <row r="24" spans="15:18" ht="13.5">
      <c r="O24" s="188" t="s">
        <v>99</v>
      </c>
      <c r="P24" s="188"/>
      <c r="Q24" s="188"/>
      <c r="R24" s="188"/>
    </row>
    <row r="25" spans="15:18" ht="13.5">
      <c r="O25" s="188" t="s">
        <v>100</v>
      </c>
      <c r="P25" s="188"/>
      <c r="Q25" s="188"/>
      <c r="R25" s="188"/>
    </row>
    <row r="26" spans="15:18" ht="13.5">
      <c r="O26" s="188" t="s">
        <v>101</v>
      </c>
      <c r="P26" s="188"/>
      <c r="Q26" s="188"/>
      <c r="R26" s="188"/>
    </row>
    <row r="27" spans="15:18" ht="14.25" thickBot="1">
      <c r="O27" s="188" t="s">
        <v>179</v>
      </c>
      <c r="P27" s="188"/>
      <c r="Q27" s="188"/>
      <c r="R27" s="188"/>
    </row>
    <row r="28" spans="1:13" ht="14.25" thickTop="1">
      <c r="A28" s="85"/>
      <c r="B28" s="86" t="s">
        <v>213</v>
      </c>
      <c r="C28" s="87"/>
      <c r="D28" s="87"/>
      <c r="E28" s="87"/>
      <c r="F28" s="88" t="s">
        <v>214</v>
      </c>
      <c r="G28" s="88"/>
      <c r="H28" s="88"/>
      <c r="I28" s="89" t="s">
        <v>215</v>
      </c>
      <c r="J28" s="88" t="s">
        <v>216</v>
      </c>
      <c r="K28" s="88"/>
      <c r="L28" s="88"/>
      <c r="M28" s="90"/>
    </row>
    <row r="29" spans="2:13" ht="14.25" thickBot="1">
      <c r="B29" s="91"/>
      <c r="C29" s="92"/>
      <c r="D29" s="92"/>
      <c r="E29" s="92"/>
      <c r="F29" s="92"/>
      <c r="G29" s="92"/>
      <c r="H29" s="92"/>
      <c r="I29" s="93" t="s">
        <v>217</v>
      </c>
      <c r="J29" s="94" t="s">
        <v>218</v>
      </c>
      <c r="K29" s="92"/>
      <c r="L29" s="92"/>
      <c r="M29" s="95"/>
    </row>
    <row r="30" ht="14.25" thickTop="1"/>
    <row r="48" ht="13.5">
      <c r="A48" s="79">
        <v>48</v>
      </c>
    </row>
  </sheetData>
  <sheetProtection password="F028" sheet="1" objects="1" scenarios="1"/>
  <mergeCells count="15">
    <mergeCell ref="O20:R20"/>
    <mergeCell ref="O21:R21"/>
    <mergeCell ref="O22:R22"/>
    <mergeCell ref="O23:R23"/>
    <mergeCell ref="O24:R24"/>
    <mergeCell ref="O27:R27"/>
    <mergeCell ref="O25:R25"/>
    <mergeCell ref="O26:R26"/>
    <mergeCell ref="O19:R19"/>
    <mergeCell ref="O18:R18"/>
    <mergeCell ref="O2:R3"/>
    <mergeCell ref="O4:R13"/>
    <mergeCell ref="O15:R15"/>
    <mergeCell ref="O16:R16"/>
    <mergeCell ref="O17:R17"/>
  </mergeCells>
  <hyperlinks>
    <hyperlink ref="J29" r:id="rId1" display="naokishibata1976@yahoo.co.jp"/>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tabColor rgb="FF7030A0"/>
  </sheetPr>
  <dimension ref="A1:AE56"/>
  <sheetViews>
    <sheetView zoomScale="85" zoomScaleNormal="85" zoomScalePageLayoutView="0" workbookViewId="0" topLeftCell="A1">
      <selection activeCell="S10" sqref="S10:S11"/>
    </sheetView>
  </sheetViews>
  <sheetFormatPr defaultColWidth="9.140625" defaultRowHeight="15"/>
  <cols>
    <col min="1" max="1" width="4.7109375" style="4" customWidth="1"/>
    <col min="2" max="2" width="15.421875" style="5" customWidth="1"/>
    <col min="3" max="3" width="7.421875" style="5" bestFit="1" customWidth="1"/>
    <col min="4" max="4" width="12.28125" style="5" customWidth="1"/>
    <col min="5" max="7" width="6.28125" style="97" hidden="1" customWidth="1"/>
    <col min="8" max="8" width="9.00390625" style="4" hidden="1" customWidth="1"/>
    <col min="9" max="12" width="9.00390625" style="5" hidden="1" customWidth="1"/>
    <col min="13" max="13" width="9.00390625" style="4" hidden="1" customWidth="1"/>
    <col min="14" max="14" width="2.140625" style="4" customWidth="1"/>
    <col min="15" max="15" width="4.57421875" style="4" customWidth="1"/>
    <col min="16" max="16" width="4.00390625" style="4" customWidth="1"/>
    <col min="17" max="17" width="5.57421875" style="4" customWidth="1"/>
    <col min="18" max="18" width="6.421875" style="4" customWidth="1"/>
    <col min="19" max="19" width="21.421875" style="4" customWidth="1"/>
    <col min="20" max="20" width="10.7109375" style="4" customWidth="1"/>
    <col min="21" max="27" width="5.57421875" style="4" customWidth="1"/>
    <col min="28" max="28" width="11.57421875" style="4" customWidth="1"/>
    <col min="29" max="29" width="17.28125" style="4" customWidth="1"/>
    <col min="30" max="30" width="3.421875" style="4" hidden="1" customWidth="1"/>
    <col min="31" max="31" width="7.28125" style="5" hidden="1" customWidth="1"/>
    <col min="32" max="16384" width="9.00390625" style="4" customWidth="1"/>
  </cols>
  <sheetData>
    <row r="1" spans="1:28" ht="27.75" customHeight="1" thickBot="1">
      <c r="A1" s="343" t="s">
        <v>177</v>
      </c>
      <c r="B1" s="343"/>
      <c r="C1" s="344"/>
      <c r="D1" s="344"/>
      <c r="E1" s="98"/>
      <c r="F1" s="98"/>
      <c r="G1" s="98"/>
      <c r="Q1" s="407" t="s">
        <v>181</v>
      </c>
      <c r="R1" s="407"/>
      <c r="S1" s="407"/>
      <c r="T1" s="407"/>
      <c r="U1" s="407"/>
      <c r="V1" s="407"/>
      <c r="W1" s="407"/>
      <c r="X1" s="407"/>
      <c r="Y1" s="407"/>
      <c r="Z1" s="407"/>
      <c r="AA1" s="407"/>
      <c r="AB1" s="407"/>
    </row>
    <row r="2" spans="1:28" ht="15" customHeight="1" thickBot="1" thickTop="1">
      <c r="A2" s="346" t="s">
        <v>79</v>
      </c>
      <c r="B2" s="347"/>
      <c r="C2" s="48"/>
      <c r="D2" s="49"/>
      <c r="E2" s="49"/>
      <c r="F2" s="49"/>
      <c r="G2" s="49"/>
      <c r="O2" s="353" t="s">
        <v>166</v>
      </c>
      <c r="Q2" s="408" t="s">
        <v>178</v>
      </c>
      <c r="R2" s="408"/>
      <c r="S2" s="410"/>
      <c r="T2" s="52"/>
      <c r="U2" s="52"/>
      <c r="V2" s="52"/>
      <c r="W2" s="371"/>
      <c r="X2" s="371"/>
      <c r="Y2" s="371"/>
      <c r="Z2" s="371"/>
      <c r="AA2" s="371"/>
      <c r="AB2" s="344" t="s">
        <v>170</v>
      </c>
    </row>
    <row r="3" spans="1:28" ht="15" customHeight="1" thickBot="1" thickTop="1">
      <c r="A3" s="348">
        <v>1</v>
      </c>
      <c r="B3" s="349"/>
      <c r="C3" s="48"/>
      <c r="D3" s="49"/>
      <c r="E3" s="49"/>
      <c r="F3" s="49"/>
      <c r="G3" s="49"/>
      <c r="O3" s="354"/>
      <c r="Q3" s="409"/>
      <c r="R3" s="409"/>
      <c r="S3" s="411"/>
      <c r="T3" s="52"/>
      <c r="U3" s="52"/>
      <c r="V3" s="52"/>
      <c r="W3" s="372"/>
      <c r="X3" s="372"/>
      <c r="Y3" s="372"/>
      <c r="Z3" s="372"/>
      <c r="AA3" s="372"/>
      <c r="AB3" s="343"/>
    </row>
    <row r="4" spans="1:27" ht="21.75" customHeight="1" thickBot="1" thickTop="1">
      <c r="A4" s="348"/>
      <c r="B4" s="349"/>
      <c r="C4" s="50"/>
      <c r="D4" s="45"/>
      <c r="E4" s="49"/>
      <c r="F4" s="49"/>
      <c r="G4" s="49"/>
      <c r="O4" s="354"/>
      <c r="T4" s="53" t="s">
        <v>174</v>
      </c>
      <c r="U4" s="53" t="s">
        <v>175</v>
      </c>
      <c r="V4" s="406" t="s">
        <v>176</v>
      </c>
      <c r="W4" s="406"/>
      <c r="X4" s="406"/>
      <c r="Y4" s="53" t="s">
        <v>175</v>
      </c>
      <c r="Z4" s="405" t="s">
        <v>174</v>
      </c>
      <c r="AA4" s="405"/>
    </row>
    <row r="5" spans="1:27" ht="15" customHeight="1" thickBot="1" thickTop="1">
      <c r="A5" s="6"/>
      <c r="B5" s="7" t="s">
        <v>77</v>
      </c>
      <c r="C5" s="51" t="s">
        <v>142</v>
      </c>
      <c r="D5" s="47" t="s">
        <v>78</v>
      </c>
      <c r="E5" s="96"/>
      <c r="F5" s="96"/>
      <c r="G5" s="96"/>
      <c r="I5" s="5" t="s">
        <v>77</v>
      </c>
      <c r="J5" s="5" t="s">
        <v>142</v>
      </c>
      <c r="K5" s="5" t="s">
        <v>78</v>
      </c>
      <c r="L5" s="8" t="s">
        <v>83</v>
      </c>
      <c r="O5" s="354"/>
      <c r="Q5" s="412" t="s">
        <v>172</v>
      </c>
      <c r="R5" s="413"/>
      <c r="S5" s="414"/>
      <c r="T5" s="401"/>
      <c r="U5" s="417">
        <f>V5+V6</f>
        <v>0</v>
      </c>
      <c r="V5" s="58"/>
      <c r="W5" s="54" t="s">
        <v>173</v>
      </c>
      <c r="X5" s="58"/>
      <c r="Y5" s="417">
        <f>X5+X6</f>
        <v>0</v>
      </c>
      <c r="Z5" s="401"/>
      <c r="AA5" s="401"/>
    </row>
    <row r="6" spans="1:27" ht="15" customHeight="1" thickBot="1" thickTop="1">
      <c r="A6" s="7">
        <v>1</v>
      </c>
      <c r="B6" s="7" t="str">
        <f>HLOOKUP($L$6,'名簿入力'!$B$3:$AK$46,5)</f>
        <v>柴田尚生</v>
      </c>
      <c r="C6" s="7">
        <f>HLOOKUP($L$9,'名簿入力'!$B$3:$AK$46,5)</f>
        <v>0</v>
      </c>
      <c r="D6" s="7">
        <f>HLOOKUP($L$12,'名簿入力'!$B$3:$AK$46,5)</f>
        <v>0</v>
      </c>
      <c r="E6" s="96" t="e">
        <f>MATCH(B6,$S$10:$S$45,0)</f>
        <v>#N/A</v>
      </c>
      <c r="F6" s="96" t="e">
        <f>LEN(E6)</f>
        <v>#N/A</v>
      </c>
      <c r="G6" s="96" t="e">
        <f>LEN(F6)</f>
        <v>#N/A</v>
      </c>
      <c r="H6" s="4">
        <v>1</v>
      </c>
      <c r="I6" s="5">
        <v>1</v>
      </c>
      <c r="J6" s="5">
        <v>2</v>
      </c>
      <c r="K6" s="5">
        <v>3</v>
      </c>
      <c r="L6" s="350">
        <f>VLOOKUP(A3,H5:K17,2)</f>
        <v>1</v>
      </c>
      <c r="O6" s="354"/>
      <c r="Q6" s="415"/>
      <c r="R6" s="343"/>
      <c r="S6" s="416"/>
      <c r="T6" s="402"/>
      <c r="U6" s="418"/>
      <c r="V6" s="46"/>
      <c r="W6" s="55" t="s">
        <v>173</v>
      </c>
      <c r="X6" s="46"/>
      <c r="Y6" s="418"/>
      <c r="Z6" s="402"/>
      <c r="AA6" s="402"/>
    </row>
    <row r="7" spans="1:27" ht="15" customHeight="1" thickBot="1" thickTop="1">
      <c r="A7" s="7">
        <v>2</v>
      </c>
      <c r="B7" s="7">
        <f>HLOOKUP($L$6,'名簿入力'!$B$3:$AK$46,6)</f>
        <v>0</v>
      </c>
      <c r="C7" s="7">
        <f>HLOOKUP($L$9,'名簿入力'!$B$3:$AK$46,6)</f>
        <v>0</v>
      </c>
      <c r="D7" s="7">
        <f>HLOOKUP($L$12,'名簿入力'!$B$3:$AK$46,6)</f>
        <v>0</v>
      </c>
      <c r="E7" s="96" t="e">
        <f>MATCH(B7,$S$10:$S$45,0)</f>
        <v>#N/A</v>
      </c>
      <c r="F7" s="96" t="e">
        <f aca="true" t="shared" si="0" ref="F7:G45">LEN(E7)</f>
        <v>#N/A</v>
      </c>
      <c r="G7" s="96" t="e">
        <f t="shared" si="0"/>
        <v>#N/A</v>
      </c>
      <c r="H7" s="4">
        <v>2</v>
      </c>
      <c r="I7" s="5">
        <v>4</v>
      </c>
      <c r="J7" s="5">
        <v>5</v>
      </c>
      <c r="K7" s="5">
        <v>6</v>
      </c>
      <c r="L7" s="350"/>
      <c r="O7" s="354"/>
      <c r="U7" s="370" t="s">
        <v>171</v>
      </c>
      <c r="V7" s="370"/>
      <c r="W7" s="370"/>
      <c r="X7" s="370"/>
      <c r="Y7" s="370"/>
      <c r="Z7" s="370"/>
      <c r="AA7" s="370"/>
    </row>
    <row r="8" spans="1:28" ht="15" customHeight="1" thickBot="1" thickTop="1">
      <c r="A8" s="7">
        <v>3</v>
      </c>
      <c r="B8" s="7">
        <f>HLOOKUP($L$6,'名簿入力'!$B$3:$AK$46,7)</f>
        <v>0</v>
      </c>
      <c r="C8" s="7">
        <f>HLOOKUP($L$9,'名簿入力'!$B$3:$AK$46,7)</f>
        <v>0</v>
      </c>
      <c r="D8" s="7">
        <f>HLOOKUP($L$12,'名簿入力'!$B$3:$AK$46,7)</f>
        <v>0</v>
      </c>
      <c r="E8" s="96" t="e">
        <f aca="true" t="shared" si="1" ref="E8:E45">MATCH(B8,$S$10:$S$45,0)</f>
        <v>#N/A</v>
      </c>
      <c r="F8" s="96" t="e">
        <f t="shared" si="0"/>
        <v>#N/A</v>
      </c>
      <c r="G8" s="96" t="e">
        <f t="shared" si="0"/>
        <v>#N/A</v>
      </c>
      <c r="H8" s="4">
        <v>3</v>
      </c>
      <c r="I8" s="5">
        <v>7</v>
      </c>
      <c r="J8" s="5">
        <v>8</v>
      </c>
      <c r="K8" s="5">
        <v>9</v>
      </c>
      <c r="L8" s="22" t="s">
        <v>143</v>
      </c>
      <c r="O8" s="354"/>
      <c r="Q8" s="356" t="s">
        <v>167</v>
      </c>
      <c r="R8" s="351" t="s">
        <v>168</v>
      </c>
      <c r="S8" s="351" t="s">
        <v>77</v>
      </c>
      <c r="T8" s="359" t="s">
        <v>78</v>
      </c>
      <c r="U8" s="363" t="s">
        <v>155</v>
      </c>
      <c r="V8" s="363" t="s">
        <v>156</v>
      </c>
      <c r="W8" s="363" t="s">
        <v>157</v>
      </c>
      <c r="X8" s="363" t="s">
        <v>158</v>
      </c>
      <c r="Y8" s="363" t="s">
        <v>159</v>
      </c>
      <c r="Z8" s="363" t="s">
        <v>160</v>
      </c>
      <c r="AA8" s="361" t="s">
        <v>161</v>
      </c>
      <c r="AB8" s="367" t="s">
        <v>169</v>
      </c>
    </row>
    <row r="9" spans="1:31" ht="15" customHeight="1" thickBot="1" thickTop="1">
      <c r="A9" s="7">
        <v>4</v>
      </c>
      <c r="B9" s="7">
        <f>HLOOKUP($L$6,'名簿入力'!$B$3:$AK$46,8)</f>
        <v>0</v>
      </c>
      <c r="C9" s="7">
        <f>HLOOKUP($L$9,'名簿入力'!$B$3:$AK$46,8)</f>
        <v>0</v>
      </c>
      <c r="D9" s="7">
        <f>HLOOKUP($L$12,'名簿入力'!$B$3:$AK$46,8)</f>
        <v>0</v>
      </c>
      <c r="E9" s="96" t="e">
        <f t="shared" si="1"/>
        <v>#N/A</v>
      </c>
      <c r="F9" s="96" t="e">
        <f t="shared" si="0"/>
        <v>#N/A</v>
      </c>
      <c r="G9" s="96" t="e">
        <f t="shared" si="0"/>
        <v>#N/A</v>
      </c>
      <c r="H9" s="4">
        <v>4</v>
      </c>
      <c r="I9" s="5">
        <v>10</v>
      </c>
      <c r="J9" s="5">
        <v>11</v>
      </c>
      <c r="K9" s="5">
        <v>12</v>
      </c>
      <c r="L9" s="350">
        <f>VLOOKUP(A3,H6:K17,3)</f>
        <v>2</v>
      </c>
      <c r="O9" s="355"/>
      <c r="Q9" s="356"/>
      <c r="R9" s="351"/>
      <c r="S9" s="351"/>
      <c r="T9" s="359"/>
      <c r="U9" s="364"/>
      <c r="V9" s="364"/>
      <c r="W9" s="364"/>
      <c r="X9" s="364"/>
      <c r="Y9" s="364"/>
      <c r="Z9" s="364"/>
      <c r="AA9" s="362"/>
      <c r="AB9" s="367"/>
      <c r="AE9" s="5">
        <f>TYPE(AE10)</f>
        <v>16</v>
      </c>
    </row>
    <row r="10" spans="1:31" ht="15" customHeight="1" thickBot="1" thickTop="1">
      <c r="A10" s="7">
        <v>5</v>
      </c>
      <c r="B10" s="7">
        <f>HLOOKUP($L$6,'名簿入力'!$B$3:$AK$46,9)</f>
        <v>0</v>
      </c>
      <c r="C10" s="7">
        <f>HLOOKUP($L$9,'名簿入力'!$B$3:$AK$46,9)</f>
        <v>0</v>
      </c>
      <c r="D10" s="7">
        <f>HLOOKUP($L$12,'名簿入力'!$B$3:$AK$46,9)</f>
        <v>0</v>
      </c>
      <c r="E10" s="96" t="e">
        <f t="shared" si="1"/>
        <v>#N/A</v>
      </c>
      <c r="F10" s="96" t="e">
        <f t="shared" si="0"/>
        <v>#N/A</v>
      </c>
      <c r="G10" s="96" t="e">
        <f t="shared" si="0"/>
        <v>#N/A</v>
      </c>
      <c r="H10" s="4">
        <v>5</v>
      </c>
      <c r="I10" s="5">
        <v>13</v>
      </c>
      <c r="J10" s="5">
        <v>14</v>
      </c>
      <c r="K10" s="5">
        <v>15</v>
      </c>
      <c r="L10" s="350"/>
      <c r="O10" s="345"/>
      <c r="P10" s="352" t="s">
        <v>165</v>
      </c>
      <c r="Q10" s="351">
        <v>1</v>
      </c>
      <c r="R10" s="351">
        <f>IF(O10&gt;=1,VLOOKUP(O10,$A$6:$D$45,3),"")</f>
      </c>
      <c r="S10" s="358">
        <f>IF(O10&gt;=1,VLOOKUP(O10,$A$6:$D$45,2),"")</f>
      </c>
      <c r="T10" s="360">
        <f>IF(O10&gt;=1,VLOOKUP(O10,$A$6:$D$45,4),"")</f>
      </c>
      <c r="U10" s="365"/>
      <c r="V10" s="365"/>
      <c r="W10" s="365"/>
      <c r="X10" s="365"/>
      <c r="Y10" s="365"/>
      <c r="Z10" s="365"/>
      <c r="AA10" s="365"/>
      <c r="AB10" s="368"/>
      <c r="AC10" s="420">
        <f>IF(AE9=1,"重複入力があります","")</f>
      </c>
      <c r="AE10" s="419" t="e">
        <f>MODE(O10:O45)</f>
        <v>#N/A</v>
      </c>
    </row>
    <row r="11" spans="1:31" ht="15" customHeight="1" thickBot="1" thickTop="1">
      <c r="A11" s="7">
        <v>6</v>
      </c>
      <c r="B11" s="7">
        <f>HLOOKUP($L$6,'名簿入力'!$B$3:$AK$46,10)</f>
        <v>0</v>
      </c>
      <c r="C11" s="7">
        <f>HLOOKUP($L$9,'名簿入力'!$B$3:$AK$46,10)</f>
        <v>0</v>
      </c>
      <c r="D11" s="7">
        <f>HLOOKUP($L$12,'名簿入力'!$B$3:$AK$46,10)</f>
        <v>0</v>
      </c>
      <c r="E11" s="96" t="e">
        <f t="shared" si="1"/>
        <v>#N/A</v>
      </c>
      <c r="F11" s="96" t="e">
        <f t="shared" si="0"/>
        <v>#N/A</v>
      </c>
      <c r="G11" s="96" t="e">
        <f t="shared" si="0"/>
        <v>#N/A</v>
      </c>
      <c r="H11" s="4">
        <v>6</v>
      </c>
      <c r="I11" s="5">
        <v>16</v>
      </c>
      <c r="J11" s="5">
        <v>17</v>
      </c>
      <c r="K11" s="5">
        <v>18</v>
      </c>
      <c r="L11" s="8" t="s">
        <v>84</v>
      </c>
      <c r="O11" s="345"/>
      <c r="P11" s="352"/>
      <c r="Q11" s="351"/>
      <c r="R11" s="351"/>
      <c r="S11" s="358"/>
      <c r="T11" s="360"/>
      <c r="U11" s="366"/>
      <c r="V11" s="366"/>
      <c r="W11" s="366"/>
      <c r="X11" s="366"/>
      <c r="Y11" s="366"/>
      <c r="Z11" s="366"/>
      <c r="AA11" s="366"/>
      <c r="AB11" s="368"/>
      <c r="AC11" s="420"/>
      <c r="AE11" s="419"/>
    </row>
    <row r="12" spans="1:31" ht="15" customHeight="1" thickBot="1" thickTop="1">
      <c r="A12" s="7">
        <v>7</v>
      </c>
      <c r="B12" s="7">
        <f>HLOOKUP($L$6,'名簿入力'!$B$3:$AK$46,11)</f>
        <v>0</v>
      </c>
      <c r="C12" s="7">
        <f>HLOOKUP($L$9,'名簿入力'!$B$3:$AK$46,11)</f>
        <v>0</v>
      </c>
      <c r="D12" s="7">
        <f>HLOOKUP($L$12,'名簿入力'!$B$3:$AK$46,11)</f>
        <v>0</v>
      </c>
      <c r="E12" s="96" t="e">
        <f t="shared" si="1"/>
        <v>#N/A</v>
      </c>
      <c r="F12" s="96" t="e">
        <f t="shared" si="0"/>
        <v>#N/A</v>
      </c>
      <c r="G12" s="96" t="e">
        <f t="shared" si="0"/>
        <v>#N/A</v>
      </c>
      <c r="H12" s="4">
        <v>7</v>
      </c>
      <c r="I12" s="5">
        <v>19</v>
      </c>
      <c r="J12" s="5">
        <v>20</v>
      </c>
      <c r="K12" s="5">
        <v>21</v>
      </c>
      <c r="L12" s="350">
        <f>VLOOKUP(A3,H6:K17,4)</f>
        <v>3</v>
      </c>
      <c r="O12" s="345"/>
      <c r="P12" s="352" t="s">
        <v>165</v>
      </c>
      <c r="Q12" s="351">
        <v>2</v>
      </c>
      <c r="R12" s="351">
        <f>IF(O12&gt;=1,VLOOKUP(O12,$A$6:$D$45,3),"")</f>
      </c>
      <c r="S12" s="358">
        <f>IF(O12&gt;=1,VLOOKUP(O12,$A$6:$D$45,2),"")</f>
      </c>
      <c r="T12" s="360">
        <f>IF(O12&gt;=1,VLOOKUP(O12,$A$6:$D$45,4),"")</f>
      </c>
      <c r="U12" s="365"/>
      <c r="V12" s="365"/>
      <c r="W12" s="365"/>
      <c r="X12" s="365"/>
      <c r="Y12" s="365"/>
      <c r="Z12" s="365"/>
      <c r="AA12" s="365"/>
      <c r="AB12" s="368"/>
      <c r="AC12" s="420"/>
      <c r="AE12" s="419"/>
    </row>
    <row r="13" spans="1:31" ht="15" customHeight="1" thickBot="1" thickTop="1">
      <c r="A13" s="7">
        <v>8</v>
      </c>
      <c r="B13" s="7">
        <f>HLOOKUP($L$6,'名簿入力'!$B$3:$AK$46,12)</f>
        <v>0</v>
      </c>
      <c r="C13" s="7">
        <f>HLOOKUP($L$9,'名簿入力'!$B$3:$AK$46,12)</f>
        <v>0</v>
      </c>
      <c r="D13" s="7">
        <f>HLOOKUP($L$12,'名簿入力'!$B$3:$AK$46,12)</f>
        <v>0</v>
      </c>
      <c r="E13" s="96" t="e">
        <f t="shared" si="1"/>
        <v>#N/A</v>
      </c>
      <c r="F13" s="96" t="e">
        <f t="shared" si="0"/>
        <v>#N/A</v>
      </c>
      <c r="G13" s="96" t="e">
        <f t="shared" si="0"/>
        <v>#N/A</v>
      </c>
      <c r="H13" s="4">
        <v>8</v>
      </c>
      <c r="I13" s="5">
        <v>22</v>
      </c>
      <c r="J13" s="5">
        <v>23</v>
      </c>
      <c r="K13" s="5">
        <v>24</v>
      </c>
      <c r="L13" s="350"/>
      <c r="O13" s="345"/>
      <c r="P13" s="352"/>
      <c r="Q13" s="351"/>
      <c r="R13" s="351"/>
      <c r="S13" s="358"/>
      <c r="T13" s="360"/>
      <c r="U13" s="366"/>
      <c r="V13" s="366"/>
      <c r="W13" s="366"/>
      <c r="X13" s="366"/>
      <c r="Y13" s="366"/>
      <c r="Z13" s="366"/>
      <c r="AA13" s="366"/>
      <c r="AB13" s="368"/>
      <c r="AC13" s="420"/>
      <c r="AE13" s="419"/>
    </row>
    <row r="14" spans="1:31" ht="15" customHeight="1" thickBot="1" thickTop="1">
      <c r="A14" s="7">
        <v>9</v>
      </c>
      <c r="B14" s="7">
        <f>HLOOKUP($L$6,'名簿入力'!$B$3:$AK$46,13)</f>
        <v>0</v>
      </c>
      <c r="C14" s="7">
        <f>HLOOKUP($L$9,'名簿入力'!$B$3:$AK$46,13)</f>
        <v>0</v>
      </c>
      <c r="D14" s="7">
        <f>HLOOKUP($L$12,'名簿入力'!$B$3:$AK$46,13)</f>
        <v>0</v>
      </c>
      <c r="E14" s="96" t="e">
        <f t="shared" si="1"/>
        <v>#N/A</v>
      </c>
      <c r="F14" s="96" t="e">
        <f t="shared" si="0"/>
        <v>#N/A</v>
      </c>
      <c r="G14" s="96" t="e">
        <f t="shared" si="0"/>
        <v>#N/A</v>
      </c>
      <c r="H14" s="4">
        <v>9</v>
      </c>
      <c r="I14" s="5">
        <v>25</v>
      </c>
      <c r="J14" s="5">
        <v>26</v>
      </c>
      <c r="K14" s="5">
        <v>27</v>
      </c>
      <c r="O14" s="345"/>
      <c r="P14" s="352" t="s">
        <v>165</v>
      </c>
      <c r="Q14" s="351">
        <v>3</v>
      </c>
      <c r="R14" s="351">
        <f>IF(O14&gt;=1,VLOOKUP(O14,$A$6:$D$45,3),"")</f>
      </c>
      <c r="S14" s="358">
        <f>IF(O14&gt;=1,VLOOKUP(O14,$A$6:$D$45,2),"")</f>
      </c>
      <c r="T14" s="360">
        <f>IF(O14&gt;=1,VLOOKUP(O14,$A$6:$D$45,4),"")</f>
      </c>
      <c r="U14" s="365"/>
      <c r="V14" s="365"/>
      <c r="W14" s="365"/>
      <c r="X14" s="365"/>
      <c r="Y14" s="365"/>
      <c r="Z14" s="365"/>
      <c r="AA14" s="365"/>
      <c r="AB14" s="368"/>
      <c r="AC14" s="420"/>
      <c r="AE14" s="419"/>
    </row>
    <row r="15" spans="1:31" ht="15" customHeight="1" thickBot="1" thickTop="1">
      <c r="A15" s="7">
        <v>10</v>
      </c>
      <c r="B15" s="7">
        <f>HLOOKUP($L$6,'名簿入力'!$B$3:$AK$46,14)</f>
        <v>0</v>
      </c>
      <c r="C15" s="7">
        <f>HLOOKUP($L$9,'名簿入力'!$B$3:$AK$46,14)</f>
        <v>0</v>
      </c>
      <c r="D15" s="7">
        <f>HLOOKUP($L$12,'名簿入力'!$B$3:$AK$46,14)</f>
        <v>0</v>
      </c>
      <c r="E15" s="96" t="e">
        <f t="shared" si="1"/>
        <v>#N/A</v>
      </c>
      <c r="F15" s="96" t="e">
        <f t="shared" si="0"/>
        <v>#N/A</v>
      </c>
      <c r="G15" s="96" t="e">
        <f t="shared" si="0"/>
        <v>#N/A</v>
      </c>
      <c r="H15" s="4">
        <v>10</v>
      </c>
      <c r="I15" s="5">
        <v>28</v>
      </c>
      <c r="J15" s="5">
        <v>29</v>
      </c>
      <c r="K15" s="5">
        <v>30</v>
      </c>
      <c r="O15" s="345"/>
      <c r="P15" s="352"/>
      <c r="Q15" s="351"/>
      <c r="R15" s="351"/>
      <c r="S15" s="358"/>
      <c r="T15" s="360"/>
      <c r="U15" s="366"/>
      <c r="V15" s="366"/>
      <c r="W15" s="366"/>
      <c r="X15" s="366"/>
      <c r="Y15" s="366"/>
      <c r="Z15" s="366"/>
      <c r="AA15" s="366"/>
      <c r="AB15" s="368"/>
      <c r="AC15" s="420"/>
      <c r="AE15" s="419"/>
    </row>
    <row r="16" spans="1:31" ht="15" customHeight="1" thickBot="1" thickTop="1">
      <c r="A16" s="7">
        <v>11</v>
      </c>
      <c r="B16" s="7">
        <f>HLOOKUP($L$6,'名簿入力'!$B$3:$AK$46,15)</f>
        <v>0</v>
      </c>
      <c r="C16" s="7">
        <f>HLOOKUP($L$9,'名簿入力'!$B$3:$AK$46,15)</f>
        <v>0</v>
      </c>
      <c r="D16" s="7">
        <f>HLOOKUP($L$12,'名簿入力'!$B$3:$AK$46,15)</f>
        <v>0</v>
      </c>
      <c r="E16" s="96" t="e">
        <f t="shared" si="1"/>
        <v>#N/A</v>
      </c>
      <c r="F16" s="96" t="e">
        <f t="shared" si="0"/>
        <v>#N/A</v>
      </c>
      <c r="G16" s="96" t="e">
        <f t="shared" si="0"/>
        <v>#N/A</v>
      </c>
      <c r="H16" s="4">
        <v>11</v>
      </c>
      <c r="I16" s="5">
        <v>31</v>
      </c>
      <c r="J16" s="5">
        <v>32</v>
      </c>
      <c r="K16" s="5">
        <v>33</v>
      </c>
      <c r="O16" s="345"/>
      <c r="P16" s="352" t="s">
        <v>165</v>
      </c>
      <c r="Q16" s="351">
        <v>4</v>
      </c>
      <c r="R16" s="351">
        <f>IF(O16&gt;=1,VLOOKUP(O16,$A$6:$D$45,3),"")</f>
      </c>
      <c r="S16" s="358">
        <f>IF(O16&gt;=1,VLOOKUP(O16,$A$6:$D$45,2),"")</f>
      </c>
      <c r="T16" s="360">
        <f>IF(O16&gt;=1,VLOOKUP(O16,$A$6:$D$45,4),"")</f>
      </c>
      <c r="U16" s="365"/>
      <c r="V16" s="365"/>
      <c r="W16" s="365"/>
      <c r="X16" s="365"/>
      <c r="Y16" s="365"/>
      <c r="Z16" s="365"/>
      <c r="AA16" s="365"/>
      <c r="AB16" s="368"/>
      <c r="AC16" s="420"/>
      <c r="AE16" s="419"/>
    </row>
    <row r="17" spans="1:31" ht="15" customHeight="1" thickBot="1" thickTop="1">
      <c r="A17" s="7">
        <v>12</v>
      </c>
      <c r="B17" s="7">
        <f>HLOOKUP($L$6,'名簿入力'!$B$3:$AK$46,16)</f>
        <v>0</v>
      </c>
      <c r="C17" s="7">
        <f>HLOOKUP($L$9,'名簿入力'!$B$3:$AK$46,16)</f>
        <v>0</v>
      </c>
      <c r="D17" s="7">
        <f>HLOOKUP($L$12,'名簿入力'!$B$3:$AK$46,16)</f>
        <v>0</v>
      </c>
      <c r="E17" s="96" t="e">
        <f t="shared" si="1"/>
        <v>#N/A</v>
      </c>
      <c r="F17" s="96" t="e">
        <f t="shared" si="0"/>
        <v>#N/A</v>
      </c>
      <c r="G17" s="96" t="e">
        <f t="shared" si="0"/>
        <v>#N/A</v>
      </c>
      <c r="H17" s="4">
        <v>12</v>
      </c>
      <c r="I17" s="5">
        <v>34</v>
      </c>
      <c r="J17" s="5">
        <v>35</v>
      </c>
      <c r="K17" s="5">
        <v>36</v>
      </c>
      <c r="O17" s="345"/>
      <c r="P17" s="352"/>
      <c r="Q17" s="351"/>
      <c r="R17" s="351"/>
      <c r="S17" s="358"/>
      <c r="T17" s="360"/>
      <c r="U17" s="366"/>
      <c r="V17" s="366"/>
      <c r="W17" s="366"/>
      <c r="X17" s="366"/>
      <c r="Y17" s="366"/>
      <c r="Z17" s="366"/>
      <c r="AA17" s="366"/>
      <c r="AB17" s="368"/>
      <c r="AC17" s="420"/>
      <c r="AE17" s="419"/>
    </row>
    <row r="18" spans="1:31" ht="15" customHeight="1" thickBot="1" thickTop="1">
      <c r="A18" s="7">
        <v>13</v>
      </c>
      <c r="B18" s="7">
        <f>HLOOKUP($L$6,'名簿入力'!$B$3:$AK$46,17)</f>
        <v>0</v>
      </c>
      <c r="C18" s="7">
        <f>HLOOKUP($L$9,'名簿入力'!$B$3:$AK$46,17)</f>
        <v>0</v>
      </c>
      <c r="D18" s="7">
        <f>HLOOKUP($L$12,'名簿入力'!$B$3:$AK$46,17)</f>
        <v>0</v>
      </c>
      <c r="E18" s="96" t="e">
        <f t="shared" si="1"/>
        <v>#N/A</v>
      </c>
      <c r="F18" s="96" t="e">
        <f t="shared" si="0"/>
        <v>#N/A</v>
      </c>
      <c r="G18" s="96" t="e">
        <f t="shared" si="0"/>
        <v>#N/A</v>
      </c>
      <c r="O18" s="345"/>
      <c r="P18" s="352" t="s">
        <v>165</v>
      </c>
      <c r="Q18" s="351">
        <v>5</v>
      </c>
      <c r="R18" s="351">
        <f>IF(O18&gt;=1,VLOOKUP(O18,$A$6:$D$45,3),"")</f>
      </c>
      <c r="S18" s="358">
        <f>IF(O18&gt;=1,VLOOKUP(O18,$A$6:$D$45,2),"")</f>
      </c>
      <c r="T18" s="360">
        <f>IF(O18&gt;=1,VLOOKUP(O18,$A$6:$D$45,4),"")</f>
      </c>
      <c r="U18" s="365"/>
      <c r="V18" s="365"/>
      <c r="W18" s="365"/>
      <c r="X18" s="365"/>
      <c r="Y18" s="365"/>
      <c r="Z18" s="365"/>
      <c r="AA18" s="365"/>
      <c r="AB18" s="368"/>
      <c r="AC18" s="420"/>
      <c r="AE18" s="419"/>
    </row>
    <row r="19" spans="1:31" ht="15" customHeight="1" thickBot="1" thickTop="1">
      <c r="A19" s="7">
        <v>14</v>
      </c>
      <c r="B19" s="7">
        <f>HLOOKUP($L$6,'名簿入力'!$B$3:$AK$46,18)</f>
        <v>0</v>
      </c>
      <c r="C19" s="7">
        <f>HLOOKUP($L$9,'名簿入力'!$B$3:$AK$46,18)</f>
        <v>0</v>
      </c>
      <c r="D19" s="7">
        <f>HLOOKUP($L$12,'名簿入力'!$B$3:$AK$46,18)</f>
        <v>0</v>
      </c>
      <c r="E19" s="96" t="e">
        <f t="shared" si="1"/>
        <v>#N/A</v>
      </c>
      <c r="F19" s="96" t="e">
        <f t="shared" si="0"/>
        <v>#N/A</v>
      </c>
      <c r="G19" s="96" t="e">
        <f t="shared" si="0"/>
        <v>#N/A</v>
      </c>
      <c r="I19" s="357">
        <f>HLOOKUP(L6,'名簿入力'!B3:AK4,2)</f>
        <v>0</v>
      </c>
      <c r="J19" s="357"/>
      <c r="K19" s="357"/>
      <c r="O19" s="345"/>
      <c r="P19" s="352"/>
      <c r="Q19" s="351"/>
      <c r="R19" s="351"/>
      <c r="S19" s="358"/>
      <c r="T19" s="360"/>
      <c r="U19" s="366"/>
      <c r="V19" s="366"/>
      <c r="W19" s="366"/>
      <c r="X19" s="366"/>
      <c r="Y19" s="366"/>
      <c r="Z19" s="366"/>
      <c r="AA19" s="366"/>
      <c r="AB19" s="368"/>
      <c r="AC19" s="420"/>
      <c r="AE19" s="419"/>
    </row>
    <row r="20" spans="1:31" ht="15" customHeight="1" thickBot="1" thickTop="1">
      <c r="A20" s="7">
        <v>15</v>
      </c>
      <c r="B20" s="7">
        <f>HLOOKUP($L$6,'名簿入力'!$B$3:$AK$46,19)</f>
        <v>0</v>
      </c>
      <c r="C20" s="7">
        <f>HLOOKUP($L$9,'名簿入力'!$B$3:$AK$46,19)</f>
        <v>0</v>
      </c>
      <c r="D20" s="7">
        <f>HLOOKUP($L$12,'名簿入力'!$B$3:$AK$46,19)</f>
        <v>0</v>
      </c>
      <c r="E20" s="96" t="e">
        <f t="shared" si="1"/>
        <v>#N/A</v>
      </c>
      <c r="F20" s="96" t="e">
        <f t="shared" si="0"/>
        <v>#N/A</v>
      </c>
      <c r="G20" s="96" t="e">
        <f t="shared" si="0"/>
        <v>#N/A</v>
      </c>
      <c r="O20" s="345"/>
      <c r="P20" s="352" t="s">
        <v>165</v>
      </c>
      <c r="Q20" s="351">
        <v>6</v>
      </c>
      <c r="R20" s="351">
        <f>IF(O20&gt;=1,VLOOKUP(O20,$A$6:$D$45,3),"")</f>
      </c>
      <c r="S20" s="358">
        <f>IF(O20&gt;=1,VLOOKUP(O20,$A$6:$D$45,2),"")</f>
      </c>
      <c r="T20" s="360">
        <f>IF(O20&gt;=1,VLOOKUP(O20,$A$6:$D$45,4),"")</f>
      </c>
      <c r="U20" s="365"/>
      <c r="V20" s="365"/>
      <c r="W20" s="365"/>
      <c r="X20" s="365"/>
      <c r="Y20" s="365"/>
      <c r="Z20" s="365"/>
      <c r="AA20" s="365"/>
      <c r="AB20" s="368"/>
      <c r="AC20" s="420"/>
      <c r="AE20" s="419"/>
    </row>
    <row r="21" spans="1:31" ht="15" customHeight="1" thickBot="1" thickTop="1">
      <c r="A21" s="7">
        <v>16</v>
      </c>
      <c r="B21" s="7">
        <f>HLOOKUP($L$6,'名簿入力'!$B$3:$AK$46,20)</f>
        <v>0</v>
      </c>
      <c r="C21" s="7">
        <f>HLOOKUP($L$9,'名簿入力'!$B$3:$AK$46,20)</f>
        <v>0</v>
      </c>
      <c r="D21" s="7">
        <f>HLOOKUP($L$12,'名簿入力'!$B$3:$AK$46,20)</f>
        <v>0</v>
      </c>
      <c r="E21" s="96" t="e">
        <f t="shared" si="1"/>
        <v>#N/A</v>
      </c>
      <c r="F21" s="96" t="e">
        <f t="shared" si="0"/>
        <v>#N/A</v>
      </c>
      <c r="G21" s="96" t="e">
        <f t="shared" si="0"/>
        <v>#N/A</v>
      </c>
      <c r="O21" s="345"/>
      <c r="P21" s="352"/>
      <c r="Q21" s="351"/>
      <c r="R21" s="351"/>
      <c r="S21" s="358"/>
      <c r="T21" s="360"/>
      <c r="U21" s="366"/>
      <c r="V21" s="366"/>
      <c r="W21" s="366"/>
      <c r="X21" s="366"/>
      <c r="Y21" s="366"/>
      <c r="Z21" s="366"/>
      <c r="AA21" s="366"/>
      <c r="AB21" s="368"/>
      <c r="AC21" s="420"/>
      <c r="AE21" s="419"/>
    </row>
    <row r="22" spans="1:31" ht="15" customHeight="1" thickBot="1" thickTop="1">
      <c r="A22" s="7">
        <v>17</v>
      </c>
      <c r="B22" s="7">
        <f>HLOOKUP($L$6,'名簿入力'!$B$3:$AK$46,21)</f>
        <v>0</v>
      </c>
      <c r="C22" s="7">
        <f>HLOOKUP($L$9,'名簿入力'!$B$3:$AK$46,21)</f>
        <v>0</v>
      </c>
      <c r="D22" s="7">
        <f>HLOOKUP($L$12,'名簿入力'!$B$3:$AK$46,21)</f>
        <v>0</v>
      </c>
      <c r="E22" s="96" t="e">
        <f t="shared" si="1"/>
        <v>#N/A</v>
      </c>
      <c r="F22" s="96" t="e">
        <f t="shared" si="0"/>
        <v>#N/A</v>
      </c>
      <c r="G22" s="96" t="e">
        <f t="shared" si="0"/>
        <v>#N/A</v>
      </c>
      <c r="O22" s="345"/>
      <c r="P22" s="352" t="s">
        <v>165</v>
      </c>
      <c r="Q22" s="351">
        <v>7</v>
      </c>
      <c r="R22" s="351">
        <f>IF(O22&gt;=1,VLOOKUP(O22,$A$6:$D$45,3),"")</f>
      </c>
      <c r="S22" s="358">
        <f>IF(O22&gt;=1,VLOOKUP(O22,$A$6:$D$45,2),"")</f>
      </c>
      <c r="T22" s="360">
        <f>IF(O22&gt;=1,VLOOKUP(O22,$A$6:$D$45,4),"")</f>
      </c>
      <c r="U22" s="365"/>
      <c r="V22" s="365"/>
      <c r="W22" s="365"/>
      <c r="X22" s="365"/>
      <c r="Y22" s="365"/>
      <c r="Z22" s="365"/>
      <c r="AA22" s="365"/>
      <c r="AB22" s="368"/>
      <c r="AC22" s="420"/>
      <c r="AE22" s="419"/>
    </row>
    <row r="23" spans="1:31" ht="15" customHeight="1" thickBot="1" thickTop="1">
      <c r="A23" s="7">
        <v>18</v>
      </c>
      <c r="B23" s="7">
        <f>HLOOKUP($L$6,'名簿入力'!$B$3:$AK$46,22)</f>
        <v>0</v>
      </c>
      <c r="C23" s="7">
        <f>HLOOKUP($L$9,'名簿入力'!$B$3:$AK$46,22)</f>
        <v>0</v>
      </c>
      <c r="D23" s="7">
        <f>HLOOKUP($L$12,'名簿入力'!$B$3:$AK$46,22)</f>
        <v>0</v>
      </c>
      <c r="E23" s="96" t="e">
        <f t="shared" si="1"/>
        <v>#N/A</v>
      </c>
      <c r="F23" s="96" t="e">
        <f t="shared" si="0"/>
        <v>#N/A</v>
      </c>
      <c r="G23" s="96" t="e">
        <f t="shared" si="0"/>
        <v>#N/A</v>
      </c>
      <c r="O23" s="345"/>
      <c r="P23" s="352"/>
      <c r="Q23" s="351"/>
      <c r="R23" s="351"/>
      <c r="S23" s="358"/>
      <c r="T23" s="360"/>
      <c r="U23" s="366"/>
      <c r="V23" s="366"/>
      <c r="W23" s="366"/>
      <c r="X23" s="366"/>
      <c r="Y23" s="366"/>
      <c r="Z23" s="366"/>
      <c r="AA23" s="366"/>
      <c r="AB23" s="368"/>
      <c r="AC23" s="420"/>
      <c r="AE23" s="419"/>
    </row>
    <row r="24" spans="1:31" ht="15" customHeight="1" thickBot="1" thickTop="1">
      <c r="A24" s="7">
        <v>19</v>
      </c>
      <c r="B24" s="7">
        <f>HLOOKUP($L$6,'名簿入力'!$B$3:$AK$46,23)</f>
        <v>0</v>
      </c>
      <c r="C24" s="7">
        <f>HLOOKUP($L$9,'名簿入力'!$B$3:$AK$46,23)</f>
        <v>0</v>
      </c>
      <c r="D24" s="7">
        <f>HLOOKUP($L$12,'名簿入力'!$B$3:$AK$46,23)</f>
        <v>0</v>
      </c>
      <c r="E24" s="96" t="e">
        <f t="shared" si="1"/>
        <v>#N/A</v>
      </c>
      <c r="F24" s="96" t="e">
        <f t="shared" si="0"/>
        <v>#N/A</v>
      </c>
      <c r="G24" s="96" t="e">
        <f t="shared" si="0"/>
        <v>#N/A</v>
      </c>
      <c r="O24" s="345"/>
      <c r="P24" s="352" t="s">
        <v>165</v>
      </c>
      <c r="Q24" s="351">
        <v>8</v>
      </c>
      <c r="R24" s="351">
        <f>IF(O24&gt;=1,VLOOKUP(O24,$A$6:$D$45,3),"")</f>
      </c>
      <c r="S24" s="358">
        <f>IF(O24&gt;=1,VLOOKUP(O24,$A$6:$D$45,2),"")</f>
      </c>
      <c r="T24" s="360">
        <f>IF(O24&gt;=1,VLOOKUP(O24,$A$6:$D$45,4),"")</f>
      </c>
      <c r="U24" s="365"/>
      <c r="V24" s="365"/>
      <c r="W24" s="365"/>
      <c r="X24" s="365"/>
      <c r="Y24" s="365"/>
      <c r="Z24" s="365"/>
      <c r="AA24" s="365"/>
      <c r="AB24" s="368"/>
      <c r="AC24" s="420"/>
      <c r="AE24" s="419"/>
    </row>
    <row r="25" spans="1:31" ht="15" customHeight="1" thickBot="1" thickTop="1">
      <c r="A25" s="7">
        <v>20</v>
      </c>
      <c r="B25" s="7">
        <f>HLOOKUP($L$6,'名簿入力'!$B$3:$AK$46,24)</f>
        <v>0</v>
      </c>
      <c r="C25" s="7">
        <f>HLOOKUP($L$9,'名簿入力'!$B$3:$AK$46,24)</f>
        <v>0</v>
      </c>
      <c r="D25" s="7">
        <f>HLOOKUP($L$12,'名簿入力'!$B$3:$AK$46,24)</f>
        <v>0</v>
      </c>
      <c r="E25" s="96" t="e">
        <f t="shared" si="1"/>
        <v>#N/A</v>
      </c>
      <c r="F25" s="96" t="e">
        <f t="shared" si="0"/>
        <v>#N/A</v>
      </c>
      <c r="G25" s="96" t="e">
        <f t="shared" si="0"/>
        <v>#N/A</v>
      </c>
      <c r="O25" s="345"/>
      <c r="P25" s="352"/>
      <c r="Q25" s="351"/>
      <c r="R25" s="351"/>
      <c r="S25" s="358"/>
      <c r="T25" s="360"/>
      <c r="U25" s="366"/>
      <c r="V25" s="366"/>
      <c r="W25" s="366"/>
      <c r="X25" s="366"/>
      <c r="Y25" s="366"/>
      <c r="Z25" s="366"/>
      <c r="AA25" s="366"/>
      <c r="AB25" s="368"/>
      <c r="AC25" s="420"/>
      <c r="AE25" s="419"/>
    </row>
    <row r="26" spans="1:31" ht="15" customHeight="1" thickBot="1" thickTop="1">
      <c r="A26" s="7">
        <v>21</v>
      </c>
      <c r="B26" s="7">
        <f>HLOOKUP($L$6,'名簿入力'!$B$3:$AK$46,25)</f>
        <v>0</v>
      </c>
      <c r="C26" s="7">
        <f>HLOOKUP($L$9,'名簿入力'!$B$3:$AK$46,25)</f>
        <v>0</v>
      </c>
      <c r="D26" s="7">
        <f>HLOOKUP($L$12,'名簿入力'!$B$3:$AK$46,25)</f>
        <v>0</v>
      </c>
      <c r="E26" s="96" t="e">
        <f t="shared" si="1"/>
        <v>#N/A</v>
      </c>
      <c r="F26" s="96" t="e">
        <f t="shared" si="0"/>
        <v>#N/A</v>
      </c>
      <c r="G26" s="96" t="e">
        <f t="shared" si="0"/>
        <v>#N/A</v>
      </c>
      <c r="O26" s="345"/>
      <c r="P26" s="352" t="s">
        <v>165</v>
      </c>
      <c r="Q26" s="351">
        <v>9</v>
      </c>
      <c r="R26" s="351">
        <f>IF(O26&gt;=1,VLOOKUP(O26,$A$6:$D$45,3),"")</f>
      </c>
      <c r="S26" s="358">
        <f>IF(O26&gt;=1,VLOOKUP(O26,$A$6:$D$45,2),"")</f>
      </c>
      <c r="T26" s="360">
        <f>IF(O26&gt;=1,VLOOKUP(O26,$A$6:$D$45,4),"")</f>
      </c>
      <c r="U26" s="365"/>
      <c r="V26" s="365"/>
      <c r="W26" s="365"/>
      <c r="X26" s="365"/>
      <c r="Y26" s="365"/>
      <c r="Z26" s="365"/>
      <c r="AA26" s="365"/>
      <c r="AB26" s="368"/>
      <c r="AC26" s="420"/>
      <c r="AE26" s="419"/>
    </row>
    <row r="27" spans="1:31" ht="15" customHeight="1" thickBot="1" thickTop="1">
      <c r="A27" s="7">
        <v>22</v>
      </c>
      <c r="B27" s="7">
        <f>HLOOKUP($L$6,'名簿入力'!$B$3:$AK$46,26)</f>
        <v>0</v>
      </c>
      <c r="C27" s="7">
        <f>HLOOKUP($L$9,'名簿入力'!$B$3:$AK$46,26)</f>
        <v>0</v>
      </c>
      <c r="D27" s="7">
        <f>HLOOKUP($L$12,'名簿入力'!$B$3:$AK$46,26)</f>
        <v>0</v>
      </c>
      <c r="E27" s="96" t="e">
        <f t="shared" si="1"/>
        <v>#N/A</v>
      </c>
      <c r="F27" s="96" t="e">
        <f t="shared" si="0"/>
        <v>#N/A</v>
      </c>
      <c r="G27" s="96" t="e">
        <f t="shared" si="0"/>
        <v>#N/A</v>
      </c>
      <c r="O27" s="345"/>
      <c r="P27" s="352"/>
      <c r="Q27" s="351"/>
      <c r="R27" s="351"/>
      <c r="S27" s="358"/>
      <c r="T27" s="360"/>
      <c r="U27" s="366"/>
      <c r="V27" s="366"/>
      <c r="W27" s="366"/>
      <c r="X27" s="366"/>
      <c r="Y27" s="366"/>
      <c r="Z27" s="366"/>
      <c r="AA27" s="366"/>
      <c r="AB27" s="368"/>
      <c r="AC27" s="420"/>
      <c r="AE27" s="419"/>
    </row>
    <row r="28" spans="1:31" ht="15" customHeight="1" thickBot="1" thickTop="1">
      <c r="A28" s="7">
        <v>23</v>
      </c>
      <c r="B28" s="7">
        <f>HLOOKUP($L$6,'名簿入力'!$B$3:$AK$46,27)</f>
        <v>0</v>
      </c>
      <c r="C28" s="7">
        <f>HLOOKUP($L$9,'名簿入力'!$B$3:$AK$46,27)</f>
        <v>0</v>
      </c>
      <c r="D28" s="7">
        <f>HLOOKUP($L$12,'名簿入力'!$B$3:$AK$46,27)</f>
        <v>0</v>
      </c>
      <c r="E28" s="96" t="e">
        <f t="shared" si="1"/>
        <v>#N/A</v>
      </c>
      <c r="F28" s="96" t="e">
        <f t="shared" si="0"/>
        <v>#N/A</v>
      </c>
      <c r="G28" s="96" t="e">
        <f t="shared" si="0"/>
        <v>#N/A</v>
      </c>
      <c r="O28" s="345"/>
      <c r="P28" s="352" t="s">
        <v>165</v>
      </c>
      <c r="Q28" s="351">
        <v>10</v>
      </c>
      <c r="R28" s="351">
        <f>IF(O28&gt;=1,VLOOKUP(O28,$A$6:$D$45,3),"")</f>
      </c>
      <c r="S28" s="358">
        <f>IF(O28&gt;=1,VLOOKUP(O28,$A$6:$D$45,2),"")</f>
      </c>
      <c r="T28" s="360">
        <f>IF(O28&gt;=1,VLOOKUP(O28,$A$6:$D$45,4),"")</f>
      </c>
      <c r="U28" s="365"/>
      <c r="V28" s="365"/>
      <c r="W28" s="365"/>
      <c r="X28" s="365"/>
      <c r="Y28" s="365"/>
      <c r="Z28" s="365"/>
      <c r="AA28" s="365"/>
      <c r="AB28" s="368"/>
      <c r="AC28" s="420"/>
      <c r="AE28" s="419"/>
    </row>
    <row r="29" spans="1:31" ht="15" customHeight="1" thickBot="1" thickTop="1">
      <c r="A29" s="7">
        <v>24</v>
      </c>
      <c r="B29" s="7">
        <f>HLOOKUP($L$6,'名簿入力'!$B$3:$AK$46,28)</f>
        <v>0</v>
      </c>
      <c r="C29" s="7">
        <f>HLOOKUP($L$9,'名簿入力'!$B$3:$AK$46,28)</f>
        <v>0</v>
      </c>
      <c r="D29" s="7">
        <f>HLOOKUP($L$12,'名簿入力'!$B$3:$AK$46,28)</f>
        <v>0</v>
      </c>
      <c r="E29" s="96" t="e">
        <f t="shared" si="1"/>
        <v>#N/A</v>
      </c>
      <c r="F29" s="96" t="e">
        <f t="shared" si="0"/>
        <v>#N/A</v>
      </c>
      <c r="G29" s="96" t="e">
        <f t="shared" si="0"/>
        <v>#N/A</v>
      </c>
      <c r="O29" s="345"/>
      <c r="P29" s="352"/>
      <c r="Q29" s="351"/>
      <c r="R29" s="351"/>
      <c r="S29" s="358"/>
      <c r="T29" s="360"/>
      <c r="U29" s="366"/>
      <c r="V29" s="366"/>
      <c r="W29" s="366"/>
      <c r="X29" s="366"/>
      <c r="Y29" s="366"/>
      <c r="Z29" s="366"/>
      <c r="AA29" s="366"/>
      <c r="AB29" s="368"/>
      <c r="AC29" s="420"/>
      <c r="AE29" s="419"/>
    </row>
    <row r="30" spans="1:31" ht="15" customHeight="1" thickBot="1" thickTop="1">
      <c r="A30" s="7">
        <v>25</v>
      </c>
      <c r="B30" s="7">
        <f>HLOOKUP($L$6,'名簿入力'!$B$3:$AK$46,29)</f>
        <v>0</v>
      </c>
      <c r="C30" s="7">
        <f>HLOOKUP($L$9,'名簿入力'!$B$3:$AK$46,29)</f>
        <v>0</v>
      </c>
      <c r="D30" s="7">
        <f>HLOOKUP($L$12,'名簿入力'!$B$3:$AK$46,29)</f>
        <v>0</v>
      </c>
      <c r="E30" s="96" t="e">
        <f t="shared" si="1"/>
        <v>#N/A</v>
      </c>
      <c r="F30" s="96" t="e">
        <f t="shared" si="0"/>
        <v>#N/A</v>
      </c>
      <c r="G30" s="96" t="e">
        <f t="shared" si="0"/>
        <v>#N/A</v>
      </c>
      <c r="O30" s="345"/>
      <c r="P30" s="352" t="s">
        <v>165</v>
      </c>
      <c r="Q30" s="351">
        <v>11</v>
      </c>
      <c r="R30" s="351">
        <f>IF(O30&gt;=1,VLOOKUP(O30,$A$6:$D$45,3),"")</f>
      </c>
      <c r="S30" s="358">
        <f>IF(O30&gt;=1,VLOOKUP(O30,$A$6:$D$45,2),"")</f>
      </c>
      <c r="T30" s="360">
        <f>IF(O30&gt;=1,VLOOKUP(O30,$A$6:$D$45,4),"")</f>
      </c>
      <c r="U30" s="365"/>
      <c r="V30" s="365"/>
      <c r="W30" s="365"/>
      <c r="X30" s="365"/>
      <c r="Y30" s="365"/>
      <c r="Z30" s="365"/>
      <c r="AA30" s="365"/>
      <c r="AB30" s="368"/>
      <c r="AC30" s="420"/>
      <c r="AE30" s="419"/>
    </row>
    <row r="31" spans="1:31" ht="15" customHeight="1" thickBot="1" thickTop="1">
      <c r="A31" s="7">
        <v>26</v>
      </c>
      <c r="B31" s="7">
        <f>HLOOKUP($L$6,'名簿入力'!$B$3:$AK$46,30)</f>
        <v>0</v>
      </c>
      <c r="C31" s="7">
        <f>HLOOKUP($L$9,'名簿入力'!$B$3:$AK$46,30)</f>
        <v>0</v>
      </c>
      <c r="D31" s="7">
        <f>HLOOKUP($L$12,'名簿入力'!$B$3:$AK$46,30)</f>
        <v>0</v>
      </c>
      <c r="E31" s="96" t="e">
        <f t="shared" si="1"/>
        <v>#N/A</v>
      </c>
      <c r="F31" s="96" t="e">
        <f t="shared" si="0"/>
        <v>#N/A</v>
      </c>
      <c r="G31" s="96" t="e">
        <f t="shared" si="0"/>
        <v>#N/A</v>
      </c>
      <c r="O31" s="345"/>
      <c r="P31" s="352"/>
      <c r="Q31" s="351"/>
      <c r="R31" s="351"/>
      <c r="S31" s="358"/>
      <c r="T31" s="360"/>
      <c r="U31" s="366"/>
      <c r="V31" s="366"/>
      <c r="W31" s="366"/>
      <c r="X31" s="366"/>
      <c r="Y31" s="366"/>
      <c r="Z31" s="366"/>
      <c r="AA31" s="366"/>
      <c r="AB31" s="368"/>
      <c r="AC31" s="420"/>
      <c r="AE31" s="419"/>
    </row>
    <row r="32" spans="1:31" ht="15" customHeight="1" thickBot="1" thickTop="1">
      <c r="A32" s="7">
        <v>27</v>
      </c>
      <c r="B32" s="7">
        <f>HLOOKUP($L$6,'名簿入力'!$B$3:$AK$46,31)</f>
        <v>0</v>
      </c>
      <c r="C32" s="7">
        <f>HLOOKUP($L$9,'名簿入力'!$B$3:$AK$46,31)</f>
        <v>0</v>
      </c>
      <c r="D32" s="7">
        <f>HLOOKUP($L$12,'名簿入力'!$B$3:$AK$46,31)</f>
        <v>0</v>
      </c>
      <c r="E32" s="96" t="e">
        <f t="shared" si="1"/>
        <v>#N/A</v>
      </c>
      <c r="F32" s="96" t="e">
        <f t="shared" si="0"/>
        <v>#N/A</v>
      </c>
      <c r="G32" s="96" t="e">
        <f t="shared" si="0"/>
        <v>#N/A</v>
      </c>
      <c r="O32" s="345"/>
      <c r="P32" s="352" t="s">
        <v>165</v>
      </c>
      <c r="Q32" s="351">
        <v>12</v>
      </c>
      <c r="R32" s="351">
        <f>IF(O32&gt;=1,VLOOKUP(O32,$A$6:$D$45,3),"")</f>
      </c>
      <c r="S32" s="358">
        <f>IF(O32&gt;=1,VLOOKUP(O32,$A$6:$D$45,2),"")</f>
      </c>
      <c r="T32" s="360">
        <f>IF(O32&gt;=1,VLOOKUP(O32,$A$6:$D$45,4),"")</f>
      </c>
      <c r="U32" s="365"/>
      <c r="V32" s="365"/>
      <c r="W32" s="365"/>
      <c r="X32" s="365"/>
      <c r="Y32" s="365"/>
      <c r="Z32" s="365"/>
      <c r="AA32" s="365"/>
      <c r="AB32" s="368"/>
      <c r="AC32" s="420"/>
      <c r="AE32" s="419"/>
    </row>
    <row r="33" spans="1:31" ht="15" customHeight="1" thickBot="1" thickTop="1">
      <c r="A33" s="7">
        <v>28</v>
      </c>
      <c r="B33" s="7">
        <f>HLOOKUP($L$6,'名簿入力'!$B$3:$AK$46,32)</f>
        <v>0</v>
      </c>
      <c r="C33" s="7">
        <f>HLOOKUP($L$9,'名簿入力'!$B$3:$AK$46,32)</f>
        <v>0</v>
      </c>
      <c r="D33" s="7">
        <f>HLOOKUP($L$12,'名簿入力'!$B$3:$AK$46,32)</f>
        <v>0</v>
      </c>
      <c r="E33" s="96" t="e">
        <f t="shared" si="1"/>
        <v>#N/A</v>
      </c>
      <c r="F33" s="96" t="e">
        <f t="shared" si="0"/>
        <v>#N/A</v>
      </c>
      <c r="G33" s="96" t="e">
        <f t="shared" si="0"/>
        <v>#N/A</v>
      </c>
      <c r="O33" s="345"/>
      <c r="P33" s="352"/>
      <c r="Q33" s="351"/>
      <c r="R33" s="351"/>
      <c r="S33" s="358"/>
      <c r="T33" s="360"/>
      <c r="U33" s="366"/>
      <c r="V33" s="366"/>
      <c r="W33" s="366"/>
      <c r="X33" s="366"/>
      <c r="Y33" s="366"/>
      <c r="Z33" s="366"/>
      <c r="AA33" s="366"/>
      <c r="AB33" s="368"/>
      <c r="AC33" s="420"/>
      <c r="AE33" s="419"/>
    </row>
    <row r="34" spans="1:31" ht="15" customHeight="1" thickBot="1" thickTop="1">
      <c r="A34" s="7">
        <v>29</v>
      </c>
      <c r="B34" s="7">
        <f>HLOOKUP($L$6,'名簿入力'!$B$3:$AK$46,33)</f>
        <v>0</v>
      </c>
      <c r="C34" s="7">
        <f>HLOOKUP($L$9,'名簿入力'!$B$3:$AK$46,33)</f>
        <v>0</v>
      </c>
      <c r="D34" s="7">
        <f>HLOOKUP($L$12,'名簿入力'!$B$3:$AK$46,33)</f>
        <v>0</v>
      </c>
      <c r="E34" s="96" t="e">
        <f t="shared" si="1"/>
        <v>#N/A</v>
      </c>
      <c r="F34" s="96" t="e">
        <f t="shared" si="0"/>
        <v>#N/A</v>
      </c>
      <c r="G34" s="96" t="e">
        <f t="shared" si="0"/>
        <v>#N/A</v>
      </c>
      <c r="O34" s="345"/>
      <c r="P34" s="352" t="s">
        <v>165</v>
      </c>
      <c r="Q34" s="351">
        <v>13</v>
      </c>
      <c r="R34" s="351">
        <f>IF(O34&gt;=1,VLOOKUP(O34,$A$6:$D$45,3),"")</f>
      </c>
      <c r="S34" s="358">
        <f>IF(O34&gt;=1,VLOOKUP(O34,$A$6:$D$45,2),"")</f>
      </c>
      <c r="T34" s="360">
        <f>IF(O34&gt;=1,VLOOKUP(O34,$A$6:$D$45,4),"")</f>
      </c>
      <c r="U34" s="365"/>
      <c r="V34" s="365"/>
      <c r="W34" s="365"/>
      <c r="X34" s="365"/>
      <c r="Y34" s="365"/>
      <c r="Z34" s="365"/>
      <c r="AA34" s="365"/>
      <c r="AB34" s="368"/>
      <c r="AC34" s="420"/>
      <c r="AE34" s="419"/>
    </row>
    <row r="35" spans="1:31" ht="15" customHeight="1" thickBot="1" thickTop="1">
      <c r="A35" s="7">
        <v>30</v>
      </c>
      <c r="B35" s="7">
        <f>HLOOKUP($L$6,'名簿入力'!$B$3:$AK$46,34)</f>
        <v>0</v>
      </c>
      <c r="C35" s="7">
        <f>HLOOKUP($L$9,'名簿入力'!$B$3:$AK$46,34)</f>
        <v>0</v>
      </c>
      <c r="D35" s="7">
        <f>HLOOKUP($L$12,'名簿入力'!$B$3:$AK$46,34)</f>
        <v>0</v>
      </c>
      <c r="E35" s="96" t="e">
        <f t="shared" si="1"/>
        <v>#N/A</v>
      </c>
      <c r="F35" s="96" t="e">
        <f t="shared" si="0"/>
        <v>#N/A</v>
      </c>
      <c r="G35" s="96" t="e">
        <f t="shared" si="0"/>
        <v>#N/A</v>
      </c>
      <c r="O35" s="345"/>
      <c r="P35" s="352"/>
      <c r="Q35" s="351"/>
      <c r="R35" s="351"/>
      <c r="S35" s="358"/>
      <c r="T35" s="360"/>
      <c r="U35" s="366"/>
      <c r="V35" s="366"/>
      <c r="W35" s="366"/>
      <c r="X35" s="366"/>
      <c r="Y35" s="366"/>
      <c r="Z35" s="366"/>
      <c r="AA35" s="366"/>
      <c r="AB35" s="368"/>
      <c r="AC35" s="420"/>
      <c r="AE35" s="419"/>
    </row>
    <row r="36" spans="1:31" ht="15" customHeight="1" thickBot="1" thickTop="1">
      <c r="A36" s="7">
        <v>31</v>
      </c>
      <c r="B36" s="7">
        <f>HLOOKUP($L$6,'名簿入力'!$B$3:$AK$46,35)</f>
        <v>0</v>
      </c>
      <c r="C36" s="7">
        <f>HLOOKUP($L$9,'名簿入力'!$B$3:$AK$46,35)</f>
        <v>0</v>
      </c>
      <c r="D36" s="7">
        <f>HLOOKUP($L$12,'名簿入力'!$B$3:$AK$46,35)</f>
        <v>0</v>
      </c>
      <c r="E36" s="96" t="e">
        <f t="shared" si="1"/>
        <v>#N/A</v>
      </c>
      <c r="F36" s="96" t="e">
        <f t="shared" si="0"/>
        <v>#N/A</v>
      </c>
      <c r="G36" s="96" t="e">
        <f t="shared" si="0"/>
        <v>#N/A</v>
      </c>
      <c r="O36" s="345"/>
      <c r="P36" s="352" t="s">
        <v>165</v>
      </c>
      <c r="Q36" s="351">
        <v>14</v>
      </c>
      <c r="R36" s="351">
        <f>IF(O36&gt;=1,VLOOKUP(O36,$A$6:$D$45,3),"")</f>
      </c>
      <c r="S36" s="358">
        <f>IF(O36&gt;=1,VLOOKUP(O36,$A$6:$D$45,2),"")</f>
      </c>
      <c r="T36" s="360">
        <f>IF(O36&gt;=1,VLOOKUP(O36,$A$6:$D$45,4),"")</f>
      </c>
      <c r="U36" s="365"/>
      <c r="V36" s="365"/>
      <c r="W36" s="365"/>
      <c r="X36" s="365"/>
      <c r="Y36" s="365"/>
      <c r="Z36" s="365"/>
      <c r="AA36" s="365"/>
      <c r="AB36" s="368"/>
      <c r="AC36" s="420"/>
      <c r="AE36" s="419"/>
    </row>
    <row r="37" spans="1:31" ht="15" customHeight="1" thickBot="1" thickTop="1">
      <c r="A37" s="7">
        <v>32</v>
      </c>
      <c r="B37" s="7">
        <f>HLOOKUP($L$6,'名簿入力'!$B$3:$AK$46,36)</f>
        <v>0</v>
      </c>
      <c r="C37" s="7">
        <f>HLOOKUP($L$9,'名簿入力'!$B$3:$AK$46,36)</f>
        <v>0</v>
      </c>
      <c r="D37" s="7">
        <f>HLOOKUP($L$12,'名簿入力'!$B$3:$AK$46,36)</f>
        <v>0</v>
      </c>
      <c r="E37" s="96" t="e">
        <f t="shared" si="1"/>
        <v>#N/A</v>
      </c>
      <c r="F37" s="96" t="e">
        <f t="shared" si="0"/>
        <v>#N/A</v>
      </c>
      <c r="G37" s="96" t="e">
        <f t="shared" si="0"/>
        <v>#N/A</v>
      </c>
      <c r="O37" s="345"/>
      <c r="P37" s="352"/>
      <c r="Q37" s="351"/>
      <c r="R37" s="351"/>
      <c r="S37" s="358"/>
      <c r="T37" s="360"/>
      <c r="U37" s="366"/>
      <c r="V37" s="366"/>
      <c r="W37" s="366"/>
      <c r="X37" s="366"/>
      <c r="Y37" s="366"/>
      <c r="Z37" s="366"/>
      <c r="AA37" s="366"/>
      <c r="AB37" s="368"/>
      <c r="AC37" s="420"/>
      <c r="AE37" s="419"/>
    </row>
    <row r="38" spans="1:31" ht="15" customHeight="1" thickBot="1" thickTop="1">
      <c r="A38" s="7">
        <v>33</v>
      </c>
      <c r="B38" s="7">
        <f>HLOOKUP($L$6,'名簿入力'!$B$3:$AK$46,37)</f>
        <v>0</v>
      </c>
      <c r="C38" s="7">
        <f>HLOOKUP($L$9,'名簿入力'!$B$3:$AK$46,37)</f>
        <v>0</v>
      </c>
      <c r="D38" s="7">
        <f>HLOOKUP($L$12,'名簿入力'!$B$3:$AK$46,37)</f>
        <v>0</v>
      </c>
      <c r="E38" s="96" t="e">
        <f t="shared" si="1"/>
        <v>#N/A</v>
      </c>
      <c r="F38" s="96" t="e">
        <f t="shared" si="0"/>
        <v>#N/A</v>
      </c>
      <c r="G38" s="96" t="e">
        <f t="shared" si="0"/>
        <v>#N/A</v>
      </c>
      <c r="O38" s="345"/>
      <c r="P38" s="352" t="s">
        <v>165</v>
      </c>
      <c r="Q38" s="351">
        <v>15</v>
      </c>
      <c r="R38" s="351">
        <f>IF(O38&gt;=1,VLOOKUP(O38,$A$6:$D$45,3),"")</f>
      </c>
      <c r="S38" s="358">
        <f>IF(O38&gt;=1,VLOOKUP(O38,$A$6:$D$45,2),"")</f>
      </c>
      <c r="T38" s="360">
        <f>IF(O38&gt;=1,VLOOKUP(O38,$A$6:$D$45,4),"")</f>
      </c>
      <c r="U38" s="365"/>
      <c r="V38" s="365"/>
      <c r="W38" s="365"/>
      <c r="X38" s="365"/>
      <c r="Y38" s="365"/>
      <c r="Z38" s="365"/>
      <c r="AA38" s="365"/>
      <c r="AB38" s="368"/>
      <c r="AC38" s="420"/>
      <c r="AE38" s="419"/>
    </row>
    <row r="39" spans="1:31" ht="15" customHeight="1" thickBot="1" thickTop="1">
      <c r="A39" s="7">
        <v>34</v>
      </c>
      <c r="B39" s="7">
        <f>HLOOKUP($L$6,'名簿入力'!$B$3:$AK$46,38)</f>
        <v>0</v>
      </c>
      <c r="C39" s="7">
        <f>HLOOKUP($L$9,'名簿入力'!$B$3:$AK$46,38)</f>
        <v>0</v>
      </c>
      <c r="D39" s="7">
        <f>HLOOKUP($L$12,'名簿入力'!$B$3:$AK$46,38)</f>
        <v>0</v>
      </c>
      <c r="E39" s="96" t="e">
        <f t="shared" si="1"/>
        <v>#N/A</v>
      </c>
      <c r="F39" s="96" t="e">
        <f t="shared" si="0"/>
        <v>#N/A</v>
      </c>
      <c r="G39" s="96" t="e">
        <f t="shared" si="0"/>
        <v>#N/A</v>
      </c>
      <c r="O39" s="345"/>
      <c r="P39" s="352"/>
      <c r="Q39" s="351"/>
      <c r="R39" s="351"/>
      <c r="S39" s="358"/>
      <c r="T39" s="360"/>
      <c r="U39" s="366"/>
      <c r="V39" s="366"/>
      <c r="W39" s="366"/>
      <c r="X39" s="366"/>
      <c r="Y39" s="366"/>
      <c r="Z39" s="366"/>
      <c r="AA39" s="366"/>
      <c r="AB39" s="368"/>
      <c r="AC39" s="420"/>
      <c r="AE39" s="419"/>
    </row>
    <row r="40" spans="1:31" ht="15" customHeight="1" thickBot="1" thickTop="1">
      <c r="A40" s="7">
        <v>35</v>
      </c>
      <c r="B40" s="7">
        <f>HLOOKUP($L$6,'名簿入力'!$B$3:$AK$46,39)</f>
        <v>0</v>
      </c>
      <c r="C40" s="7">
        <f>HLOOKUP($L$9,'名簿入力'!$B$3:$AK$46,39)</f>
        <v>0</v>
      </c>
      <c r="D40" s="7">
        <f>HLOOKUP($L$12,'名簿入力'!$B$3:$AK$46,39)</f>
        <v>0</v>
      </c>
      <c r="E40" s="96" t="e">
        <f t="shared" si="1"/>
        <v>#N/A</v>
      </c>
      <c r="F40" s="96" t="e">
        <f t="shared" si="0"/>
        <v>#N/A</v>
      </c>
      <c r="G40" s="96" t="e">
        <f t="shared" si="0"/>
        <v>#N/A</v>
      </c>
      <c r="O40" s="345"/>
      <c r="P40" s="352" t="s">
        <v>165</v>
      </c>
      <c r="Q40" s="351">
        <v>16</v>
      </c>
      <c r="R40" s="351">
        <f>IF(O40&gt;=1,VLOOKUP(O40,$A$6:$D$45,3),"")</f>
      </c>
      <c r="S40" s="358">
        <f>IF(O40&gt;=1,VLOOKUP(O40,$A$6:$D$45,2),"")</f>
      </c>
      <c r="T40" s="360">
        <f>IF(O40&gt;=1,VLOOKUP(O40,$A$6:$D$45,4),"")</f>
      </c>
      <c r="U40" s="365"/>
      <c r="V40" s="365"/>
      <c r="W40" s="365"/>
      <c r="X40" s="365"/>
      <c r="Y40" s="365"/>
      <c r="Z40" s="365"/>
      <c r="AA40" s="365"/>
      <c r="AB40" s="368"/>
      <c r="AC40" s="420"/>
      <c r="AE40" s="419"/>
    </row>
    <row r="41" spans="1:31" ht="15" customHeight="1" thickBot="1" thickTop="1">
      <c r="A41" s="7">
        <v>36</v>
      </c>
      <c r="B41" s="7">
        <f>HLOOKUP($L$6,'名簿入力'!$B$3:$AK$46,40)</f>
        <v>0</v>
      </c>
      <c r="C41" s="7">
        <f>HLOOKUP($L$9,'名簿入力'!$B$3:$AK$46,40)</f>
        <v>0</v>
      </c>
      <c r="D41" s="7">
        <f>HLOOKUP($L$12,'名簿入力'!$B$3:$AK$46,40)</f>
        <v>0</v>
      </c>
      <c r="E41" s="96" t="e">
        <f t="shared" si="1"/>
        <v>#N/A</v>
      </c>
      <c r="F41" s="96" t="e">
        <f t="shared" si="0"/>
        <v>#N/A</v>
      </c>
      <c r="G41" s="96" t="e">
        <f t="shared" si="0"/>
        <v>#N/A</v>
      </c>
      <c r="O41" s="345"/>
      <c r="P41" s="352"/>
      <c r="Q41" s="351"/>
      <c r="R41" s="351"/>
      <c r="S41" s="358"/>
      <c r="T41" s="360"/>
      <c r="U41" s="366"/>
      <c r="V41" s="366"/>
      <c r="W41" s="366"/>
      <c r="X41" s="366"/>
      <c r="Y41" s="366"/>
      <c r="Z41" s="366"/>
      <c r="AA41" s="366"/>
      <c r="AB41" s="368"/>
      <c r="AC41" s="420"/>
      <c r="AE41" s="419"/>
    </row>
    <row r="42" spans="1:31" ht="15" customHeight="1" thickBot="1" thickTop="1">
      <c r="A42" s="7">
        <v>37</v>
      </c>
      <c r="B42" s="7">
        <f>HLOOKUP($L$6,'名簿入力'!$B$3:$AK$46,41)</f>
        <v>0</v>
      </c>
      <c r="C42" s="7">
        <f>HLOOKUP($L$9,'名簿入力'!$B$3:$AK$46,41)</f>
        <v>0</v>
      </c>
      <c r="D42" s="7">
        <f>HLOOKUP($L$12,'名簿入力'!$B$3:$AK$46,41)</f>
        <v>0</v>
      </c>
      <c r="E42" s="96" t="e">
        <f t="shared" si="1"/>
        <v>#N/A</v>
      </c>
      <c r="F42" s="96" t="e">
        <f t="shared" si="0"/>
        <v>#N/A</v>
      </c>
      <c r="G42" s="96" t="e">
        <f t="shared" si="0"/>
        <v>#N/A</v>
      </c>
      <c r="O42" s="345"/>
      <c r="P42" s="352" t="s">
        <v>165</v>
      </c>
      <c r="Q42" s="351">
        <v>17</v>
      </c>
      <c r="R42" s="351">
        <f>IF(O42&gt;=1,VLOOKUP(O42,$A$6:$D$45,3),"")</f>
      </c>
      <c r="S42" s="358">
        <f>IF(O42&gt;=1,VLOOKUP(O42,$A$6:$D$45,2),"")</f>
      </c>
      <c r="T42" s="360">
        <f>IF(O42&gt;=1,VLOOKUP(O42,$A$6:$D$45,4),"")</f>
      </c>
      <c r="U42" s="365"/>
      <c r="V42" s="365"/>
      <c r="W42" s="365"/>
      <c r="X42" s="365"/>
      <c r="Y42" s="365"/>
      <c r="Z42" s="365"/>
      <c r="AA42" s="365"/>
      <c r="AB42" s="368"/>
      <c r="AC42" s="420"/>
      <c r="AE42" s="419"/>
    </row>
    <row r="43" spans="1:31" ht="15" customHeight="1" thickBot="1" thickTop="1">
      <c r="A43" s="7">
        <v>38</v>
      </c>
      <c r="B43" s="7">
        <f>HLOOKUP($L$6,'名簿入力'!$B$3:$AK$46,42)</f>
        <v>0</v>
      </c>
      <c r="C43" s="7">
        <f>HLOOKUP($L$9,'名簿入力'!$B$3:$AK$46,42)</f>
        <v>0</v>
      </c>
      <c r="D43" s="7">
        <f>HLOOKUP($L$12,'名簿入力'!$B$3:$AK$46,42)</f>
        <v>0</v>
      </c>
      <c r="E43" s="96" t="e">
        <f t="shared" si="1"/>
        <v>#N/A</v>
      </c>
      <c r="F43" s="96" t="e">
        <f t="shared" si="0"/>
        <v>#N/A</v>
      </c>
      <c r="G43" s="96" t="e">
        <f t="shared" si="0"/>
        <v>#N/A</v>
      </c>
      <c r="O43" s="345"/>
      <c r="P43" s="352"/>
      <c r="Q43" s="351"/>
      <c r="R43" s="351"/>
      <c r="S43" s="358"/>
      <c r="T43" s="360"/>
      <c r="U43" s="366"/>
      <c r="V43" s="366"/>
      <c r="W43" s="366"/>
      <c r="X43" s="366"/>
      <c r="Y43" s="366"/>
      <c r="Z43" s="366"/>
      <c r="AA43" s="366"/>
      <c r="AB43" s="368"/>
      <c r="AC43" s="420"/>
      <c r="AE43" s="419"/>
    </row>
    <row r="44" spans="1:31" ht="15" customHeight="1" thickBot="1" thickTop="1">
      <c r="A44" s="7">
        <v>39</v>
      </c>
      <c r="B44" s="7">
        <f>HLOOKUP($L$6,'名簿入力'!$B$3:$AK$46,43)</f>
        <v>0</v>
      </c>
      <c r="C44" s="7">
        <f>HLOOKUP($L$9,'名簿入力'!$B$3:$AK$46,43)</f>
        <v>0</v>
      </c>
      <c r="D44" s="7">
        <f>HLOOKUP($L$12,'名簿入力'!$B$3:$AK$46,43)</f>
        <v>0</v>
      </c>
      <c r="E44" s="96" t="e">
        <f t="shared" si="1"/>
        <v>#N/A</v>
      </c>
      <c r="F44" s="96" t="e">
        <f t="shared" si="0"/>
        <v>#N/A</v>
      </c>
      <c r="G44" s="96" t="e">
        <f t="shared" si="0"/>
        <v>#N/A</v>
      </c>
      <c r="O44" s="345"/>
      <c r="P44" s="352" t="s">
        <v>165</v>
      </c>
      <c r="Q44" s="351">
        <v>18</v>
      </c>
      <c r="R44" s="351">
        <f>IF(O44&gt;=1,VLOOKUP(O44,$A$6:$D$45,3),"")</f>
      </c>
      <c r="S44" s="358">
        <f>IF(O44&gt;=1,VLOOKUP(O44,$A$6:$D$45,2),"")</f>
      </c>
      <c r="T44" s="360">
        <f>IF(O44&gt;=1,VLOOKUP(O44,$A$6:$D$45,4),"")</f>
      </c>
      <c r="U44" s="365"/>
      <c r="V44" s="365"/>
      <c r="W44" s="365"/>
      <c r="X44" s="365"/>
      <c r="Y44" s="365"/>
      <c r="Z44" s="365"/>
      <c r="AA44" s="365"/>
      <c r="AB44" s="368"/>
      <c r="AC44" s="420"/>
      <c r="AE44" s="419"/>
    </row>
    <row r="45" spans="1:31" ht="15" customHeight="1" thickBot="1" thickTop="1">
      <c r="A45" s="7">
        <v>40</v>
      </c>
      <c r="B45" s="7">
        <f>HLOOKUP($L$6,'名簿入力'!$B$3:$AK$46,44)</f>
        <v>0</v>
      </c>
      <c r="C45" s="7">
        <f>HLOOKUP($L$9,'名簿入力'!$B$3:$AK$46,44)</f>
        <v>0</v>
      </c>
      <c r="D45" s="7">
        <f>HLOOKUP($L$12,'名簿入力'!$B$3:$AK$46,44)</f>
        <v>0</v>
      </c>
      <c r="E45" s="96" t="e">
        <f t="shared" si="1"/>
        <v>#N/A</v>
      </c>
      <c r="F45" s="96" t="e">
        <f t="shared" si="0"/>
        <v>#N/A</v>
      </c>
      <c r="G45" s="96" t="e">
        <f t="shared" si="0"/>
        <v>#N/A</v>
      </c>
      <c r="O45" s="345"/>
      <c r="P45" s="352"/>
      <c r="Q45" s="351"/>
      <c r="R45" s="351"/>
      <c r="S45" s="358"/>
      <c r="T45" s="360"/>
      <c r="U45" s="369"/>
      <c r="V45" s="369"/>
      <c r="W45" s="369"/>
      <c r="X45" s="369"/>
      <c r="Y45" s="369"/>
      <c r="Z45" s="369"/>
      <c r="AA45" s="369"/>
      <c r="AB45" s="368"/>
      <c r="AC45" s="420"/>
      <c r="AE45" s="419"/>
    </row>
    <row r="46" spans="17:28" ht="15" customHeight="1" thickTop="1">
      <c r="Q46" s="403" t="s">
        <v>162</v>
      </c>
      <c r="R46" s="403"/>
      <c r="S46" s="403"/>
      <c r="T46" s="403"/>
      <c r="U46" s="56"/>
      <c r="V46" s="56"/>
      <c r="W46" s="56"/>
      <c r="X46" s="56"/>
      <c r="Y46" s="56"/>
      <c r="Z46" s="56"/>
      <c r="AA46" s="56"/>
      <c r="AB46" s="56"/>
    </row>
    <row r="47" spans="17:28" ht="15" customHeight="1" thickBot="1">
      <c r="Q47" s="404"/>
      <c r="R47" s="404"/>
      <c r="S47" s="404"/>
      <c r="T47" s="404"/>
      <c r="U47" s="57"/>
      <c r="V47" s="57"/>
      <c r="W47" s="57"/>
      <c r="X47" s="57"/>
      <c r="Y47" s="57"/>
      <c r="Z47" s="57"/>
      <c r="AA47" s="57"/>
      <c r="AB47" s="57"/>
    </row>
    <row r="48" spans="17:28" ht="15" customHeight="1">
      <c r="Q48" s="388" t="s">
        <v>163</v>
      </c>
      <c r="R48" s="389" t="s">
        <v>152</v>
      </c>
      <c r="S48" s="391" t="s">
        <v>153</v>
      </c>
      <c r="T48" s="393" t="s">
        <v>154</v>
      </c>
      <c r="U48" s="395" t="s">
        <v>164</v>
      </c>
      <c r="V48" s="396"/>
      <c r="W48" s="396"/>
      <c r="X48" s="396"/>
      <c r="Y48" s="396"/>
      <c r="Z48" s="396"/>
      <c r="AA48" s="396"/>
      <c r="AB48" s="397"/>
    </row>
    <row r="49" spans="17:28" ht="15" customHeight="1" thickBot="1">
      <c r="Q49" s="374"/>
      <c r="R49" s="390"/>
      <c r="S49" s="392"/>
      <c r="T49" s="394"/>
      <c r="U49" s="398"/>
      <c r="V49" s="399"/>
      <c r="W49" s="399"/>
      <c r="X49" s="399"/>
      <c r="Y49" s="399"/>
      <c r="Z49" s="399"/>
      <c r="AA49" s="399"/>
      <c r="AB49" s="400"/>
    </row>
    <row r="50" spans="15:28" ht="15" customHeight="1" thickBot="1" thickTop="1">
      <c r="O50" s="345"/>
      <c r="P50" s="352" t="s">
        <v>165</v>
      </c>
      <c r="Q50" s="373">
        <v>1</v>
      </c>
      <c r="R50" s="351">
        <f>IF(O50&gt;=1,VLOOKUP(O50,$A$6:$D$45,3),"")</f>
      </c>
      <c r="S50" s="358">
        <f>IF(O50&gt;=1,VLOOKUP(O50,$A$6:$D$45,2),"")</f>
      </c>
      <c r="T50" s="360">
        <f>IF(O50&gt;=1,VLOOKUP(O50,$A$6:$D$45,4),"")</f>
      </c>
      <c r="U50" s="377"/>
      <c r="V50" s="378"/>
      <c r="W50" s="378"/>
      <c r="X50" s="378"/>
      <c r="Y50" s="378"/>
      <c r="Z50" s="378"/>
      <c r="AA50" s="378"/>
      <c r="AB50" s="379"/>
    </row>
    <row r="51" spans="15:28" ht="15" customHeight="1" thickBot="1" thickTop="1">
      <c r="O51" s="345"/>
      <c r="P51" s="352"/>
      <c r="Q51" s="374"/>
      <c r="R51" s="351"/>
      <c r="S51" s="358"/>
      <c r="T51" s="360"/>
      <c r="U51" s="380"/>
      <c r="V51" s="381"/>
      <c r="W51" s="381"/>
      <c r="X51" s="381"/>
      <c r="Y51" s="381"/>
      <c r="Z51" s="381"/>
      <c r="AA51" s="381"/>
      <c r="AB51" s="382"/>
    </row>
    <row r="52" spans="15:28" ht="15" customHeight="1" thickBot="1" thickTop="1">
      <c r="O52" s="345"/>
      <c r="P52" s="352" t="s">
        <v>165</v>
      </c>
      <c r="Q52" s="373">
        <v>2</v>
      </c>
      <c r="R52" s="351">
        <f>IF(O52&gt;=1,VLOOKUP(O52,$A$6:$D$45,3),"")</f>
      </c>
      <c r="S52" s="358">
        <f>IF(O52&gt;=1,VLOOKUP(O52,$A$6:$D$45,2),"")</f>
      </c>
      <c r="T52" s="360">
        <f>IF(O52&gt;=1,VLOOKUP(O52,$A$6:$D$45,4),"")</f>
      </c>
      <c r="U52" s="377"/>
      <c r="V52" s="378"/>
      <c r="W52" s="378"/>
      <c r="X52" s="378"/>
      <c r="Y52" s="378"/>
      <c r="Z52" s="378"/>
      <c r="AA52" s="378"/>
      <c r="AB52" s="379"/>
    </row>
    <row r="53" spans="15:28" ht="15" customHeight="1" thickBot="1" thickTop="1">
      <c r="O53" s="345"/>
      <c r="P53" s="352"/>
      <c r="Q53" s="374"/>
      <c r="R53" s="351"/>
      <c r="S53" s="358"/>
      <c r="T53" s="360"/>
      <c r="U53" s="380"/>
      <c r="V53" s="381"/>
      <c r="W53" s="381"/>
      <c r="X53" s="381"/>
      <c r="Y53" s="381"/>
      <c r="Z53" s="381"/>
      <c r="AA53" s="381"/>
      <c r="AB53" s="382"/>
    </row>
    <row r="54" spans="15:28" ht="15" customHeight="1" thickBot="1" thickTop="1">
      <c r="O54" s="345"/>
      <c r="P54" s="352" t="s">
        <v>165</v>
      </c>
      <c r="Q54" s="373">
        <v>3</v>
      </c>
      <c r="R54" s="351">
        <f>IF(O54&gt;=1,VLOOKUP(O54,$A$6:$D$45,3),"")</f>
      </c>
      <c r="S54" s="358">
        <f>IF(O54&gt;=1,VLOOKUP(O54,$A$6:$D$45,2),"")</f>
      </c>
      <c r="T54" s="360">
        <f>IF(O54&gt;=1,VLOOKUP(O54,$A$6:$D$45,4),"")</f>
      </c>
      <c r="U54" s="377"/>
      <c r="V54" s="378"/>
      <c r="W54" s="378"/>
      <c r="X54" s="378"/>
      <c r="Y54" s="378"/>
      <c r="Z54" s="378"/>
      <c r="AA54" s="378"/>
      <c r="AB54" s="379"/>
    </row>
    <row r="55" spans="15:28" ht="15" customHeight="1" thickBot="1" thickTop="1">
      <c r="O55" s="345"/>
      <c r="P55" s="352"/>
      <c r="Q55" s="375"/>
      <c r="R55" s="376"/>
      <c r="S55" s="383"/>
      <c r="T55" s="384"/>
      <c r="U55" s="385"/>
      <c r="V55" s="386"/>
      <c r="W55" s="386"/>
      <c r="X55" s="386"/>
      <c r="Y55" s="386"/>
      <c r="Z55" s="386"/>
      <c r="AA55" s="386"/>
      <c r="AB55" s="387"/>
    </row>
    <row r="56" spans="17:28" ht="31.5" customHeight="1" thickTop="1">
      <c r="Q56" s="342" t="s">
        <v>190</v>
      </c>
      <c r="R56" s="342"/>
      <c r="S56" s="342"/>
      <c r="T56" s="342"/>
      <c r="U56" s="342"/>
      <c r="V56" s="342"/>
      <c r="W56" s="342"/>
      <c r="X56" s="342"/>
      <c r="Y56" s="342"/>
      <c r="Z56" s="342"/>
      <c r="AA56" s="342"/>
      <c r="AB56" s="342"/>
    </row>
    <row r="57" ht="15" customHeight="1"/>
    <row r="58" ht="15" customHeight="1"/>
    <row r="59" ht="15" customHeight="1"/>
    <row r="60" ht="15" customHeight="1"/>
    <row r="61" ht="15" customHeight="1"/>
    <row r="62" ht="15" customHeight="1"/>
    <row r="63" ht="15" customHeight="1"/>
    <row r="64" ht="15" customHeight="1"/>
  </sheetData>
  <sheetProtection password="DA1F" sheet="1" objects="1" scenarios="1"/>
  <mergeCells count="332">
    <mergeCell ref="AE38:AE39"/>
    <mergeCell ref="U38:U39"/>
    <mergeCell ref="V38:V39"/>
    <mergeCell ref="W38:W39"/>
    <mergeCell ref="X38:X39"/>
    <mergeCell ref="AC10:AC45"/>
    <mergeCell ref="AE40:AE41"/>
    <mergeCell ref="AE42:AE43"/>
    <mergeCell ref="AE44:AE45"/>
    <mergeCell ref="AE28:AE29"/>
    <mergeCell ref="AE30:AE31"/>
    <mergeCell ref="AE22:AE23"/>
    <mergeCell ref="AE24:AE25"/>
    <mergeCell ref="AE26:AE27"/>
    <mergeCell ref="AE32:AE33"/>
    <mergeCell ref="AE34:AE35"/>
    <mergeCell ref="AE36:AE37"/>
    <mergeCell ref="AB26:AB27"/>
    <mergeCell ref="AE10:AE11"/>
    <mergeCell ref="AE12:AE13"/>
    <mergeCell ref="AE14:AE15"/>
    <mergeCell ref="AE16:AE17"/>
    <mergeCell ref="AE18:AE19"/>
    <mergeCell ref="AE20:AE21"/>
    <mergeCell ref="Q1:AB1"/>
    <mergeCell ref="Q2:R3"/>
    <mergeCell ref="S2:S3"/>
    <mergeCell ref="Q5:S6"/>
    <mergeCell ref="T5:T6"/>
    <mergeCell ref="U5:U6"/>
    <mergeCell ref="Y5:Y6"/>
    <mergeCell ref="Z5:AA6"/>
    <mergeCell ref="Q46:T47"/>
    <mergeCell ref="AB28:AB29"/>
    <mergeCell ref="AB30:AB31"/>
    <mergeCell ref="X40:X41"/>
    <mergeCell ref="Z4:AA4"/>
    <mergeCell ref="V4:X4"/>
    <mergeCell ref="AB20:AB21"/>
    <mergeCell ref="AB22:AB23"/>
    <mergeCell ref="AB24:AB25"/>
    <mergeCell ref="T52:T53"/>
    <mergeCell ref="U52:AB53"/>
    <mergeCell ref="S54:S55"/>
    <mergeCell ref="T54:T55"/>
    <mergeCell ref="U54:AB55"/>
    <mergeCell ref="Q48:Q49"/>
    <mergeCell ref="R48:R49"/>
    <mergeCell ref="S48:S49"/>
    <mergeCell ref="T48:T49"/>
    <mergeCell ref="U48:AB49"/>
    <mergeCell ref="T50:T51"/>
    <mergeCell ref="AB32:AB33"/>
    <mergeCell ref="AB34:AB35"/>
    <mergeCell ref="AB36:AB37"/>
    <mergeCell ref="AB38:AB39"/>
    <mergeCell ref="AB40:AB41"/>
    <mergeCell ref="AB42:AB43"/>
    <mergeCell ref="U50:AB51"/>
    <mergeCell ref="Y40:Y41"/>
    <mergeCell ref="Q52:Q53"/>
    <mergeCell ref="Q54:Q55"/>
    <mergeCell ref="R50:R51"/>
    <mergeCell ref="R52:R53"/>
    <mergeCell ref="R54:R55"/>
    <mergeCell ref="S50:S51"/>
    <mergeCell ref="S52:S53"/>
    <mergeCell ref="W2:AA3"/>
    <mergeCell ref="AB2:AB3"/>
    <mergeCell ref="O50:O51"/>
    <mergeCell ref="O52:O53"/>
    <mergeCell ref="O54:O55"/>
    <mergeCell ref="P50:P51"/>
    <mergeCell ref="P52:P53"/>
    <mergeCell ref="P54:P55"/>
    <mergeCell ref="AB44:AB45"/>
    <mergeCell ref="Q50:Q51"/>
    <mergeCell ref="U40:U41"/>
    <mergeCell ref="V40:V41"/>
    <mergeCell ref="W40:W41"/>
    <mergeCell ref="Z40:Z41"/>
    <mergeCell ref="AA40:AA41"/>
    <mergeCell ref="U7:AA7"/>
    <mergeCell ref="V42:V43"/>
    <mergeCell ref="W42:W43"/>
    <mergeCell ref="X42:X43"/>
    <mergeCell ref="Y42:Y43"/>
    <mergeCell ref="Z42:Z43"/>
    <mergeCell ref="AA38:AA39"/>
    <mergeCell ref="AB18:AB19"/>
    <mergeCell ref="AA42:AA43"/>
    <mergeCell ref="U44:U45"/>
    <mergeCell ref="V44:V45"/>
    <mergeCell ref="W44:W45"/>
    <mergeCell ref="X44:X45"/>
    <mergeCell ref="Y44:Y45"/>
    <mergeCell ref="Z44:Z45"/>
    <mergeCell ref="AA44:AA45"/>
    <mergeCell ref="U42:U43"/>
    <mergeCell ref="V34:V35"/>
    <mergeCell ref="W34:W35"/>
    <mergeCell ref="X34:X35"/>
    <mergeCell ref="Y34:Y35"/>
    <mergeCell ref="Z34:Z35"/>
    <mergeCell ref="AB8:AB9"/>
    <mergeCell ref="AB10:AB11"/>
    <mergeCell ref="AB12:AB13"/>
    <mergeCell ref="AB14:AB15"/>
    <mergeCell ref="AB16:AB17"/>
    <mergeCell ref="Y38:Y39"/>
    <mergeCell ref="Z38:Z39"/>
    <mergeCell ref="AA34:AA35"/>
    <mergeCell ref="U36:U37"/>
    <mergeCell ref="V36:V37"/>
    <mergeCell ref="W36:W37"/>
    <mergeCell ref="X36:X37"/>
    <mergeCell ref="Y36:Y37"/>
    <mergeCell ref="Z36:Z37"/>
    <mergeCell ref="AA36:AA37"/>
    <mergeCell ref="Z32:Z33"/>
    <mergeCell ref="AA32:AA33"/>
    <mergeCell ref="U30:U31"/>
    <mergeCell ref="V30:V31"/>
    <mergeCell ref="W30:W31"/>
    <mergeCell ref="X30:X31"/>
    <mergeCell ref="Y30:Y31"/>
    <mergeCell ref="Z30:Z31"/>
    <mergeCell ref="W26:W27"/>
    <mergeCell ref="X26:X27"/>
    <mergeCell ref="Y26:Y27"/>
    <mergeCell ref="Z26:Z27"/>
    <mergeCell ref="AA30:AA31"/>
    <mergeCell ref="U32:U33"/>
    <mergeCell ref="V32:V33"/>
    <mergeCell ref="W32:W33"/>
    <mergeCell ref="X32:X33"/>
    <mergeCell ref="Y32:Y33"/>
    <mergeCell ref="AA26:AA27"/>
    <mergeCell ref="U28:U29"/>
    <mergeCell ref="V28:V29"/>
    <mergeCell ref="W28:W29"/>
    <mergeCell ref="X28:X29"/>
    <mergeCell ref="Y28:Y29"/>
    <mergeCell ref="Z28:Z29"/>
    <mergeCell ref="AA28:AA29"/>
    <mergeCell ref="U26:U27"/>
    <mergeCell ref="V26:V27"/>
    <mergeCell ref="Z24:Z25"/>
    <mergeCell ref="AA24:AA25"/>
    <mergeCell ref="U22:U23"/>
    <mergeCell ref="V22:V23"/>
    <mergeCell ref="W22:W23"/>
    <mergeCell ref="X22:X23"/>
    <mergeCell ref="Y22:Y23"/>
    <mergeCell ref="Z22:Z23"/>
    <mergeCell ref="W18:W19"/>
    <mergeCell ref="X18:X19"/>
    <mergeCell ref="Y18:Y19"/>
    <mergeCell ref="Z18:Z19"/>
    <mergeCell ref="AA22:AA23"/>
    <mergeCell ref="U24:U25"/>
    <mergeCell ref="V24:V25"/>
    <mergeCell ref="W24:W25"/>
    <mergeCell ref="X24:X25"/>
    <mergeCell ref="Y24:Y25"/>
    <mergeCell ref="Z14:Z15"/>
    <mergeCell ref="AA18:AA19"/>
    <mergeCell ref="U20:U21"/>
    <mergeCell ref="V20:V21"/>
    <mergeCell ref="W20:W21"/>
    <mergeCell ref="X20:X21"/>
    <mergeCell ref="Y20:Y21"/>
    <mergeCell ref="Z20:Z21"/>
    <mergeCell ref="AA20:AA21"/>
    <mergeCell ref="U18:U19"/>
    <mergeCell ref="AA14:AA15"/>
    <mergeCell ref="U16:U17"/>
    <mergeCell ref="V16:V17"/>
    <mergeCell ref="W16:W17"/>
    <mergeCell ref="X16:X17"/>
    <mergeCell ref="Y16:Y17"/>
    <mergeCell ref="Z16:Z17"/>
    <mergeCell ref="AA16:AA17"/>
    <mergeCell ref="U14:U15"/>
    <mergeCell ref="V14:V15"/>
    <mergeCell ref="T42:T43"/>
    <mergeCell ref="Z10:Z11"/>
    <mergeCell ref="AA10:AA11"/>
    <mergeCell ref="U12:U13"/>
    <mergeCell ref="V12:V13"/>
    <mergeCell ref="W12:W13"/>
    <mergeCell ref="X12:X13"/>
    <mergeCell ref="Y12:Y13"/>
    <mergeCell ref="Z12:Z13"/>
    <mergeCell ref="AA12:AA13"/>
    <mergeCell ref="V10:V11"/>
    <mergeCell ref="W10:W11"/>
    <mergeCell ref="X10:X11"/>
    <mergeCell ref="Y10:Y11"/>
    <mergeCell ref="T38:T39"/>
    <mergeCell ref="T40:T41"/>
    <mergeCell ref="W14:W15"/>
    <mergeCell ref="X14:X15"/>
    <mergeCell ref="Y14:Y15"/>
    <mergeCell ref="V18:V19"/>
    <mergeCell ref="T28:T29"/>
    <mergeCell ref="T30:T31"/>
    <mergeCell ref="T32:T33"/>
    <mergeCell ref="T34:T35"/>
    <mergeCell ref="T36:T37"/>
    <mergeCell ref="U8:U9"/>
    <mergeCell ref="U10:U11"/>
    <mergeCell ref="U34:U35"/>
    <mergeCell ref="S8:S9"/>
    <mergeCell ref="S10:S11"/>
    <mergeCell ref="T44:T45"/>
    <mergeCell ref="AA8:AA9"/>
    <mergeCell ref="Z8:Z9"/>
    <mergeCell ref="Y8:Y9"/>
    <mergeCell ref="X8:X9"/>
    <mergeCell ref="W8:W9"/>
    <mergeCell ref="V8:V9"/>
    <mergeCell ref="T26:T27"/>
    <mergeCell ref="S42:S43"/>
    <mergeCell ref="S20:S21"/>
    <mergeCell ref="S22:S23"/>
    <mergeCell ref="S24:S25"/>
    <mergeCell ref="S26:S27"/>
    <mergeCell ref="S28:S29"/>
    <mergeCell ref="S30:S31"/>
    <mergeCell ref="S44:S45"/>
    <mergeCell ref="T8:T9"/>
    <mergeCell ref="T10:T11"/>
    <mergeCell ref="T12:T13"/>
    <mergeCell ref="T14:T15"/>
    <mergeCell ref="T16:T17"/>
    <mergeCell ref="T18:T19"/>
    <mergeCell ref="T20:T21"/>
    <mergeCell ref="T22:T23"/>
    <mergeCell ref="T24:T25"/>
    <mergeCell ref="P42:P43"/>
    <mergeCell ref="S12:S13"/>
    <mergeCell ref="S14:S15"/>
    <mergeCell ref="S16:S17"/>
    <mergeCell ref="S18:S19"/>
    <mergeCell ref="S32:S33"/>
    <mergeCell ref="S34:S35"/>
    <mergeCell ref="S36:S37"/>
    <mergeCell ref="S38:S39"/>
    <mergeCell ref="S40:S41"/>
    <mergeCell ref="R34:R35"/>
    <mergeCell ref="R36:R37"/>
    <mergeCell ref="R38:R39"/>
    <mergeCell ref="R40:R41"/>
    <mergeCell ref="R42:R43"/>
    <mergeCell ref="Q26:Q27"/>
    <mergeCell ref="Q28:Q29"/>
    <mergeCell ref="Q30:Q31"/>
    <mergeCell ref="Q42:Q43"/>
    <mergeCell ref="P44:P45"/>
    <mergeCell ref="P32:P33"/>
    <mergeCell ref="R44:R45"/>
    <mergeCell ref="R22:R23"/>
    <mergeCell ref="R24:R25"/>
    <mergeCell ref="R26:R27"/>
    <mergeCell ref="R28:R29"/>
    <mergeCell ref="R30:R31"/>
    <mergeCell ref="R32:R33"/>
    <mergeCell ref="Q44:Q45"/>
    <mergeCell ref="O26:O27"/>
    <mergeCell ref="Q32:Q33"/>
    <mergeCell ref="Q34:Q35"/>
    <mergeCell ref="Q36:Q37"/>
    <mergeCell ref="P34:P35"/>
    <mergeCell ref="P36:P37"/>
    <mergeCell ref="P28:P29"/>
    <mergeCell ref="P30:P31"/>
    <mergeCell ref="Q10:Q11"/>
    <mergeCell ref="Q12:Q13"/>
    <mergeCell ref="Q14:Q15"/>
    <mergeCell ref="Q16:Q17"/>
    <mergeCell ref="Q18:Q19"/>
    <mergeCell ref="Q20:Q21"/>
    <mergeCell ref="P12:P13"/>
    <mergeCell ref="P14:P15"/>
    <mergeCell ref="P16:P17"/>
    <mergeCell ref="P18:P19"/>
    <mergeCell ref="P20:P21"/>
    <mergeCell ref="O44:O45"/>
    <mergeCell ref="O32:O33"/>
    <mergeCell ref="O42:O43"/>
    <mergeCell ref="O20:O21"/>
    <mergeCell ref="O22:O23"/>
    <mergeCell ref="I19:K19"/>
    <mergeCell ref="P22:P23"/>
    <mergeCell ref="P24:P25"/>
    <mergeCell ref="R14:R15"/>
    <mergeCell ref="R16:R17"/>
    <mergeCell ref="R18:R19"/>
    <mergeCell ref="R20:R21"/>
    <mergeCell ref="Q22:Q23"/>
    <mergeCell ref="Q24:Q25"/>
    <mergeCell ref="O24:O25"/>
    <mergeCell ref="P26:P27"/>
    <mergeCell ref="R10:R11"/>
    <mergeCell ref="R12:R13"/>
    <mergeCell ref="L9:L10"/>
    <mergeCell ref="O2:O9"/>
    <mergeCell ref="O28:O29"/>
    <mergeCell ref="Q8:Q9"/>
    <mergeCell ref="R8:R9"/>
    <mergeCell ref="L12:L13"/>
    <mergeCell ref="P10:P11"/>
    <mergeCell ref="O30:O31"/>
    <mergeCell ref="Q38:Q39"/>
    <mergeCell ref="Q40:Q41"/>
    <mergeCell ref="O34:O35"/>
    <mergeCell ref="O36:O37"/>
    <mergeCell ref="O38:O39"/>
    <mergeCell ref="O40:O41"/>
    <mergeCell ref="P38:P39"/>
    <mergeCell ref="P40:P41"/>
    <mergeCell ref="Q56:AB56"/>
    <mergeCell ref="A1:D1"/>
    <mergeCell ref="O10:O11"/>
    <mergeCell ref="O12:O13"/>
    <mergeCell ref="O14:O15"/>
    <mergeCell ref="O16:O17"/>
    <mergeCell ref="O18:O19"/>
    <mergeCell ref="A2:B2"/>
    <mergeCell ref="A3:B4"/>
    <mergeCell ref="L6:L7"/>
  </mergeCells>
  <conditionalFormatting sqref="B6">
    <cfRule type="expression" priority="41" dxfId="41" stopIfTrue="1">
      <formula>$G$6=1</formula>
    </cfRule>
  </conditionalFormatting>
  <conditionalFormatting sqref="B7">
    <cfRule type="expression" priority="40" dxfId="41" stopIfTrue="1">
      <formula>$G$7=1</formula>
    </cfRule>
  </conditionalFormatting>
  <conditionalFormatting sqref="B8">
    <cfRule type="expression" priority="39" dxfId="41" stopIfTrue="1">
      <formula>$G$8=1</formula>
    </cfRule>
  </conditionalFormatting>
  <conditionalFormatting sqref="B9">
    <cfRule type="expression" priority="38" dxfId="41" stopIfTrue="1">
      <formula>$G$9=1</formula>
    </cfRule>
  </conditionalFormatting>
  <conditionalFormatting sqref="B10">
    <cfRule type="expression" priority="37" dxfId="41" stopIfTrue="1">
      <formula>$G$10=1</formula>
    </cfRule>
  </conditionalFormatting>
  <conditionalFormatting sqref="B11">
    <cfRule type="expression" priority="36" dxfId="41" stopIfTrue="1">
      <formula>$G$11=1</formula>
    </cfRule>
  </conditionalFormatting>
  <conditionalFormatting sqref="B12">
    <cfRule type="expression" priority="35" dxfId="41" stopIfTrue="1">
      <formula>$G$12=1</formula>
    </cfRule>
  </conditionalFormatting>
  <conditionalFormatting sqref="B13">
    <cfRule type="expression" priority="34" dxfId="41" stopIfTrue="1">
      <formula>$G$13=1</formula>
    </cfRule>
  </conditionalFormatting>
  <conditionalFormatting sqref="B14">
    <cfRule type="expression" priority="33" dxfId="41" stopIfTrue="1">
      <formula>$G$14=1</formula>
    </cfRule>
  </conditionalFormatting>
  <conditionalFormatting sqref="B15">
    <cfRule type="expression" priority="32" dxfId="41" stopIfTrue="1">
      <formula>$G$15=1</formula>
    </cfRule>
  </conditionalFormatting>
  <conditionalFormatting sqref="B16">
    <cfRule type="expression" priority="31" dxfId="41" stopIfTrue="1">
      <formula>$G$16=1</formula>
    </cfRule>
  </conditionalFormatting>
  <conditionalFormatting sqref="B17">
    <cfRule type="expression" priority="30" dxfId="41" stopIfTrue="1">
      <formula>$G$17=1</formula>
    </cfRule>
  </conditionalFormatting>
  <conditionalFormatting sqref="B18">
    <cfRule type="expression" priority="29" dxfId="41" stopIfTrue="1">
      <formula>$G$18=1</formula>
    </cfRule>
  </conditionalFormatting>
  <conditionalFormatting sqref="B19">
    <cfRule type="expression" priority="28" dxfId="41" stopIfTrue="1">
      <formula>$G$19=1</formula>
    </cfRule>
  </conditionalFormatting>
  <conditionalFormatting sqref="B20">
    <cfRule type="expression" priority="27" dxfId="41" stopIfTrue="1">
      <formula>$G$20=1</formula>
    </cfRule>
  </conditionalFormatting>
  <conditionalFormatting sqref="B21">
    <cfRule type="expression" priority="26" dxfId="41" stopIfTrue="1">
      <formula>$G$21=1</formula>
    </cfRule>
  </conditionalFormatting>
  <conditionalFormatting sqref="B22">
    <cfRule type="expression" priority="25" dxfId="41" stopIfTrue="1">
      <formula>$G$22=1</formula>
    </cfRule>
  </conditionalFormatting>
  <conditionalFormatting sqref="B23">
    <cfRule type="expression" priority="24" dxfId="41" stopIfTrue="1">
      <formula>$G$23=1</formula>
    </cfRule>
  </conditionalFormatting>
  <conditionalFormatting sqref="B24">
    <cfRule type="expression" priority="23" dxfId="41" stopIfTrue="1">
      <formula>$G$24=1</formula>
    </cfRule>
  </conditionalFormatting>
  <conditionalFormatting sqref="B25">
    <cfRule type="expression" priority="22" dxfId="41" stopIfTrue="1">
      <formula>$G$25=1</formula>
    </cfRule>
  </conditionalFormatting>
  <conditionalFormatting sqref="B26">
    <cfRule type="expression" priority="21" dxfId="41" stopIfTrue="1">
      <formula>$G$26=1</formula>
    </cfRule>
  </conditionalFormatting>
  <conditionalFormatting sqref="B27">
    <cfRule type="expression" priority="20" dxfId="41" stopIfTrue="1">
      <formula>$G$27=1</formula>
    </cfRule>
  </conditionalFormatting>
  <conditionalFormatting sqref="B28">
    <cfRule type="expression" priority="19" dxfId="41" stopIfTrue="1">
      <formula>$G$28=1</formula>
    </cfRule>
  </conditionalFormatting>
  <conditionalFormatting sqref="B29">
    <cfRule type="expression" priority="18" dxfId="41" stopIfTrue="1">
      <formula>$G$29=1</formula>
    </cfRule>
  </conditionalFormatting>
  <conditionalFormatting sqref="B30">
    <cfRule type="expression" priority="17" dxfId="41" stopIfTrue="1">
      <formula>$G$30=1</formula>
    </cfRule>
  </conditionalFormatting>
  <conditionalFormatting sqref="B31">
    <cfRule type="expression" priority="16" dxfId="41" stopIfTrue="1">
      <formula>$G$31=1</formula>
    </cfRule>
  </conditionalFormatting>
  <conditionalFormatting sqref="B32">
    <cfRule type="expression" priority="15" dxfId="41" stopIfTrue="1">
      <formula>$G$32=1</formula>
    </cfRule>
  </conditionalFormatting>
  <conditionalFormatting sqref="B33">
    <cfRule type="expression" priority="13" dxfId="41" stopIfTrue="1">
      <formula>$G$33=1</formula>
    </cfRule>
  </conditionalFormatting>
  <conditionalFormatting sqref="B34">
    <cfRule type="expression" priority="12" dxfId="41" stopIfTrue="1">
      <formula>$G$34=1</formula>
    </cfRule>
  </conditionalFormatting>
  <conditionalFormatting sqref="B35">
    <cfRule type="expression" priority="11" dxfId="41" stopIfTrue="1">
      <formula>$G$35=1</formula>
    </cfRule>
  </conditionalFormatting>
  <conditionalFormatting sqref="B36">
    <cfRule type="expression" priority="10" dxfId="41" stopIfTrue="1">
      <formula>$G$36=1</formula>
    </cfRule>
  </conditionalFormatting>
  <conditionalFormatting sqref="B37">
    <cfRule type="expression" priority="9" dxfId="41" stopIfTrue="1">
      <formula>$G$37=1</formula>
    </cfRule>
  </conditionalFormatting>
  <conditionalFormatting sqref="B38">
    <cfRule type="expression" priority="8" dxfId="41" stopIfTrue="1">
      <formula>$G$38=1</formula>
    </cfRule>
  </conditionalFormatting>
  <conditionalFormatting sqref="B39">
    <cfRule type="expression" priority="7" dxfId="41" stopIfTrue="1">
      <formula>$G$39=1</formula>
    </cfRule>
  </conditionalFormatting>
  <conditionalFormatting sqref="B40">
    <cfRule type="expression" priority="6" dxfId="41" stopIfTrue="1">
      <formula>$G$40=1</formula>
    </cfRule>
  </conditionalFormatting>
  <conditionalFormatting sqref="B41">
    <cfRule type="expression" priority="5" dxfId="41" stopIfTrue="1">
      <formula>$G$41=1</formula>
    </cfRule>
  </conditionalFormatting>
  <conditionalFormatting sqref="B42">
    <cfRule type="expression" priority="4" dxfId="41" stopIfTrue="1">
      <formula>$G$42=1</formula>
    </cfRule>
  </conditionalFormatting>
  <conditionalFormatting sqref="B43">
    <cfRule type="expression" priority="3" dxfId="41" stopIfTrue="1">
      <formula>$G$43=1</formula>
    </cfRule>
  </conditionalFormatting>
  <conditionalFormatting sqref="B44">
    <cfRule type="expression" priority="2" dxfId="41" stopIfTrue="1">
      <formula>$G$44=1</formula>
    </cfRule>
  </conditionalFormatting>
  <conditionalFormatting sqref="B45">
    <cfRule type="expression" priority="1" dxfId="41" stopIfTrue="1">
      <formula>$G$45=1</formula>
    </cfRule>
  </conditionalFormatting>
  <dataValidations count="1">
    <dataValidation type="list" allowBlank="1" showInputMessage="1" showErrorMessage="1" error="タイトルを選択してください" sqref="Q1:AB1">
      <formula1>"岩手県フットボールセンター様　　トレセンマッチ報告,岩手県トレセンマッチメンバー表"</formula1>
    </dataValidation>
  </dataValidations>
  <printOptions/>
  <pageMargins left="0.48" right="0.39" top="0.33" bottom="0.27" header="0.22" footer="0.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7030A0"/>
  </sheetPr>
  <dimension ref="A1:AB56"/>
  <sheetViews>
    <sheetView zoomScale="85" zoomScaleNormal="85" zoomScalePageLayoutView="0" workbookViewId="0" topLeftCell="A1">
      <selection activeCell="A3" sqref="A3:B4"/>
    </sheetView>
  </sheetViews>
  <sheetFormatPr defaultColWidth="9.140625" defaultRowHeight="15"/>
  <cols>
    <col min="1" max="1" width="4.7109375" style="4" customWidth="1"/>
    <col min="2" max="2" width="15.421875" style="81" customWidth="1"/>
    <col min="3" max="3" width="7.421875" style="81" bestFit="1" customWidth="1"/>
    <col min="4" max="4" width="12.28125" style="81" customWidth="1"/>
    <col min="5" max="5" width="9.00390625" style="4" hidden="1" customWidth="1"/>
    <col min="6" max="9" width="9.00390625" style="81" hidden="1" customWidth="1"/>
    <col min="10" max="10" width="0" style="4" hidden="1" customWidth="1"/>
    <col min="11" max="11" width="2.140625" style="4" customWidth="1"/>
    <col min="12" max="12" width="4.57421875" style="4" customWidth="1"/>
    <col min="13" max="13" width="4.00390625" style="4" customWidth="1"/>
    <col min="14" max="14" width="5.57421875" style="4" customWidth="1"/>
    <col min="15" max="15" width="6.421875" style="4" customWidth="1"/>
    <col min="16" max="16" width="19.421875" style="4" customWidth="1"/>
    <col min="17" max="17" width="10.7109375" style="4" customWidth="1"/>
    <col min="18" max="24" width="5.57421875" style="4" customWidth="1"/>
    <col min="25" max="25" width="14.140625" style="4" customWidth="1"/>
    <col min="26" max="26" width="17.28125" style="4" customWidth="1"/>
    <col min="27" max="27" width="3.421875" style="4" hidden="1" customWidth="1"/>
    <col min="28" max="28" width="7.28125" style="81" hidden="1" customWidth="1"/>
    <col min="29" max="16384" width="9.00390625" style="4" customWidth="1"/>
  </cols>
  <sheetData>
    <row r="1" spans="1:25" ht="27.75" customHeight="1" thickBot="1">
      <c r="A1" s="343" t="s">
        <v>177</v>
      </c>
      <c r="B1" s="343"/>
      <c r="C1" s="344"/>
      <c r="D1" s="344"/>
      <c r="N1" s="407" t="s">
        <v>202</v>
      </c>
      <c r="O1" s="407"/>
      <c r="P1" s="407"/>
      <c r="Q1" s="407"/>
      <c r="R1" s="407"/>
      <c r="S1" s="407"/>
      <c r="T1" s="407"/>
      <c r="U1" s="407"/>
      <c r="V1" s="407"/>
      <c r="W1" s="407"/>
      <c r="X1" s="407"/>
      <c r="Y1" s="407"/>
    </row>
    <row r="2" spans="1:25" ht="15" customHeight="1" thickBot="1" thickTop="1">
      <c r="A2" s="346" t="s">
        <v>79</v>
      </c>
      <c r="B2" s="347"/>
      <c r="C2" s="48"/>
      <c r="D2" s="49"/>
      <c r="L2" s="84"/>
      <c r="N2" s="408" t="s">
        <v>178</v>
      </c>
      <c r="O2" s="408"/>
      <c r="P2" s="427">
        <v>40324</v>
      </c>
      <c r="Q2" s="428" t="s">
        <v>208</v>
      </c>
      <c r="R2" s="429"/>
      <c r="S2" s="429"/>
      <c r="T2" s="371" t="s">
        <v>209</v>
      </c>
      <c r="U2" s="371"/>
      <c r="V2" s="371"/>
      <c r="W2" s="371"/>
      <c r="X2" s="371"/>
      <c r="Y2" s="344" t="s">
        <v>170</v>
      </c>
    </row>
    <row r="3" spans="1:25" ht="15" customHeight="1" thickBot="1" thickTop="1">
      <c r="A3" s="348">
        <v>1</v>
      </c>
      <c r="B3" s="349"/>
      <c r="C3" s="48"/>
      <c r="D3" s="49"/>
      <c r="L3" s="84"/>
      <c r="N3" s="409"/>
      <c r="O3" s="409"/>
      <c r="P3" s="411"/>
      <c r="Q3" s="428"/>
      <c r="R3" s="429"/>
      <c r="S3" s="429"/>
      <c r="T3" s="372"/>
      <c r="U3" s="372"/>
      <c r="V3" s="372"/>
      <c r="W3" s="372"/>
      <c r="X3" s="372"/>
      <c r="Y3" s="343"/>
    </row>
    <row r="4" spans="1:28" ht="21.75" customHeight="1" thickBot="1" thickTop="1">
      <c r="A4" s="348"/>
      <c r="B4" s="349"/>
      <c r="C4" s="50"/>
      <c r="D4" s="80"/>
      <c r="N4" s="425" t="s">
        <v>203</v>
      </c>
      <c r="O4" s="425"/>
      <c r="P4" s="425"/>
      <c r="Q4" s="425"/>
      <c r="AB4" s="4"/>
    </row>
    <row r="5" spans="1:28" ht="15" customHeight="1" thickBot="1" thickTop="1">
      <c r="A5" s="6"/>
      <c r="B5" s="83" t="s">
        <v>77</v>
      </c>
      <c r="C5" s="51" t="s">
        <v>142</v>
      </c>
      <c r="D5" s="82" t="s">
        <v>78</v>
      </c>
      <c r="F5" s="81" t="s">
        <v>77</v>
      </c>
      <c r="G5" s="81" t="s">
        <v>142</v>
      </c>
      <c r="H5" s="81" t="s">
        <v>78</v>
      </c>
      <c r="I5" s="8" t="s">
        <v>83</v>
      </c>
      <c r="N5" s="426"/>
      <c r="O5" s="426"/>
      <c r="P5" s="426"/>
      <c r="Q5" s="426"/>
      <c r="AB5" s="4"/>
    </row>
    <row r="6" spans="1:28" ht="15" customHeight="1" thickBot="1" thickTop="1">
      <c r="A6" s="83">
        <v>1</v>
      </c>
      <c r="B6" s="83" t="str">
        <f>HLOOKUP($I$6,'名簿入力'!$B$3:$AK$46,5)</f>
        <v>柴田尚生</v>
      </c>
      <c r="C6" s="83">
        <f>HLOOKUP($I$9,'名簿入力'!$B$3:$AK$46,5)</f>
        <v>0</v>
      </c>
      <c r="D6" s="83">
        <f>HLOOKUP($I$12,'名簿入力'!$B$3:$AK$46,5)</f>
        <v>0</v>
      </c>
      <c r="E6" s="4">
        <v>1</v>
      </c>
      <c r="F6" s="81">
        <v>1</v>
      </c>
      <c r="G6" s="81">
        <v>2</v>
      </c>
      <c r="H6" s="81">
        <v>3</v>
      </c>
      <c r="I6" s="350">
        <f>VLOOKUP(A3,E5:H17,2)</f>
        <v>1</v>
      </c>
      <c r="N6" s="421" t="s">
        <v>205</v>
      </c>
      <c r="O6" s="422"/>
      <c r="P6" s="422"/>
      <c r="Q6" s="422"/>
      <c r="R6" s="422"/>
      <c r="S6" s="423" t="s">
        <v>206</v>
      </c>
      <c r="T6" s="422"/>
      <c r="U6" s="422"/>
      <c r="V6" s="422"/>
      <c r="W6" s="422"/>
      <c r="X6" s="422"/>
      <c r="Y6" s="424"/>
      <c r="AB6" s="4"/>
    </row>
    <row r="7" spans="1:28" ht="15" customHeight="1" thickBot="1" thickTop="1">
      <c r="A7" s="83">
        <v>2</v>
      </c>
      <c r="B7" s="83">
        <f>HLOOKUP($I$6,'名簿入力'!$B$3:$AK$46,6)</f>
        <v>0</v>
      </c>
      <c r="C7" s="83">
        <f>HLOOKUP($I$9,'名簿入力'!$B$3:$AK$46,6)</f>
        <v>0</v>
      </c>
      <c r="D7" s="83">
        <f>HLOOKUP($I$12,'名簿入力'!$B$3:$AK$46,6)</f>
        <v>0</v>
      </c>
      <c r="E7" s="4">
        <v>2</v>
      </c>
      <c r="F7" s="81">
        <v>4</v>
      </c>
      <c r="G7" s="81">
        <v>5</v>
      </c>
      <c r="H7" s="81">
        <v>6</v>
      </c>
      <c r="I7" s="350"/>
      <c r="N7" s="442"/>
      <c r="O7" s="431"/>
      <c r="P7" s="431"/>
      <c r="Q7" s="431"/>
      <c r="R7" s="431"/>
      <c r="S7" s="430"/>
      <c r="T7" s="431"/>
      <c r="U7" s="431"/>
      <c r="V7" s="431"/>
      <c r="W7" s="431"/>
      <c r="X7" s="431"/>
      <c r="Y7" s="432"/>
      <c r="AB7" s="4"/>
    </row>
    <row r="8" spans="1:28" ht="15" customHeight="1" thickBot="1" thickTop="1">
      <c r="A8" s="83">
        <v>3</v>
      </c>
      <c r="B8" s="83">
        <f>HLOOKUP($I$6,'名簿入力'!$B$3:$AK$46,7)</f>
        <v>0</v>
      </c>
      <c r="C8" s="83">
        <f>HLOOKUP($I$9,'名簿入力'!$B$3:$AK$46,7)</f>
        <v>0</v>
      </c>
      <c r="D8" s="83">
        <f>HLOOKUP($I$12,'名簿入力'!$B$3:$AK$46,7)</f>
        <v>0</v>
      </c>
      <c r="E8" s="4">
        <v>3</v>
      </c>
      <c r="F8" s="81">
        <v>7</v>
      </c>
      <c r="G8" s="81">
        <v>8</v>
      </c>
      <c r="H8" s="81">
        <v>9</v>
      </c>
      <c r="I8" s="22" t="s">
        <v>143</v>
      </c>
      <c r="N8" s="443"/>
      <c r="O8" s="434"/>
      <c r="P8" s="434"/>
      <c r="Q8" s="434"/>
      <c r="R8" s="434"/>
      <c r="S8" s="433"/>
      <c r="T8" s="434"/>
      <c r="U8" s="434"/>
      <c r="V8" s="434"/>
      <c r="W8" s="434"/>
      <c r="X8" s="434"/>
      <c r="Y8" s="435"/>
      <c r="AB8" s="4"/>
    </row>
    <row r="9" spans="1:28" ht="15" customHeight="1" thickBot="1" thickTop="1">
      <c r="A9" s="83">
        <v>4</v>
      </c>
      <c r="B9" s="83">
        <f>HLOOKUP($I$6,'名簿入力'!$B$3:$AK$46,8)</f>
        <v>0</v>
      </c>
      <c r="C9" s="83">
        <f>HLOOKUP($I$9,'名簿入力'!$B$3:$AK$46,8)</f>
        <v>0</v>
      </c>
      <c r="D9" s="83">
        <f>HLOOKUP($I$12,'名簿入力'!$B$3:$AK$46,8)</f>
        <v>0</v>
      </c>
      <c r="E9" s="4">
        <v>4</v>
      </c>
      <c r="F9" s="81">
        <v>10</v>
      </c>
      <c r="G9" s="81">
        <v>11</v>
      </c>
      <c r="H9" s="81">
        <v>12</v>
      </c>
      <c r="I9" s="350">
        <f>VLOOKUP(A3,E6:H17,3)</f>
        <v>2</v>
      </c>
      <c r="N9" s="443"/>
      <c r="O9" s="434"/>
      <c r="P9" s="434"/>
      <c r="Q9" s="434"/>
      <c r="R9" s="434"/>
      <c r="S9" s="433"/>
      <c r="T9" s="434"/>
      <c r="U9" s="434"/>
      <c r="V9" s="434"/>
      <c r="W9" s="434"/>
      <c r="X9" s="434"/>
      <c r="Y9" s="435"/>
      <c r="AB9" s="4"/>
    </row>
    <row r="10" spans="1:28" ht="15" customHeight="1" thickBot="1" thickTop="1">
      <c r="A10" s="83">
        <v>5</v>
      </c>
      <c r="B10" s="83">
        <f>HLOOKUP($I$6,'名簿入力'!$B$3:$AK$46,9)</f>
        <v>0</v>
      </c>
      <c r="C10" s="83">
        <f>HLOOKUP($I$9,'名簿入力'!$B$3:$AK$46,9)</f>
        <v>0</v>
      </c>
      <c r="D10" s="83">
        <f>HLOOKUP($I$12,'名簿入力'!$B$3:$AK$46,9)</f>
        <v>0</v>
      </c>
      <c r="E10" s="4">
        <v>5</v>
      </c>
      <c r="F10" s="81">
        <v>13</v>
      </c>
      <c r="G10" s="81">
        <v>14</v>
      </c>
      <c r="H10" s="81">
        <v>15</v>
      </c>
      <c r="I10" s="350"/>
      <c r="N10" s="443"/>
      <c r="O10" s="434"/>
      <c r="P10" s="434"/>
      <c r="Q10" s="434"/>
      <c r="R10" s="434"/>
      <c r="S10" s="433"/>
      <c r="T10" s="434"/>
      <c r="U10" s="434"/>
      <c r="V10" s="434"/>
      <c r="W10" s="434"/>
      <c r="X10" s="434"/>
      <c r="Y10" s="435"/>
      <c r="AB10" s="4"/>
    </row>
    <row r="11" spans="1:28" ht="15" customHeight="1" thickBot="1" thickTop="1">
      <c r="A11" s="83">
        <v>6</v>
      </c>
      <c r="B11" s="83">
        <f>HLOOKUP($I$6,'名簿入力'!$B$3:$AK$46,10)</f>
        <v>0</v>
      </c>
      <c r="C11" s="83">
        <f>HLOOKUP($I$9,'名簿入力'!$B$3:$AK$46,10)</f>
        <v>0</v>
      </c>
      <c r="D11" s="83">
        <f>HLOOKUP($I$12,'名簿入力'!$B$3:$AK$46,10)</f>
        <v>0</v>
      </c>
      <c r="E11" s="4">
        <v>6</v>
      </c>
      <c r="F11" s="81">
        <v>16</v>
      </c>
      <c r="G11" s="81">
        <v>17</v>
      </c>
      <c r="H11" s="81">
        <v>18</v>
      </c>
      <c r="I11" s="8" t="s">
        <v>84</v>
      </c>
      <c r="N11" s="443"/>
      <c r="O11" s="434"/>
      <c r="P11" s="434"/>
      <c r="Q11" s="434"/>
      <c r="R11" s="434"/>
      <c r="S11" s="433"/>
      <c r="T11" s="434"/>
      <c r="U11" s="434"/>
      <c r="V11" s="434"/>
      <c r="W11" s="434"/>
      <c r="X11" s="434"/>
      <c r="Y11" s="435"/>
      <c r="AB11" s="4"/>
    </row>
    <row r="12" spans="1:28" ht="15" customHeight="1" thickBot="1" thickTop="1">
      <c r="A12" s="83">
        <v>7</v>
      </c>
      <c r="B12" s="83">
        <f>HLOOKUP($I$6,'名簿入力'!$B$3:$AK$46,11)</f>
        <v>0</v>
      </c>
      <c r="C12" s="83">
        <f>HLOOKUP($I$9,'名簿入力'!$B$3:$AK$46,11)</f>
        <v>0</v>
      </c>
      <c r="D12" s="83">
        <f>HLOOKUP($I$12,'名簿入力'!$B$3:$AK$46,11)</f>
        <v>0</v>
      </c>
      <c r="E12" s="4">
        <v>7</v>
      </c>
      <c r="F12" s="81">
        <v>19</v>
      </c>
      <c r="G12" s="81">
        <v>20</v>
      </c>
      <c r="H12" s="81">
        <v>21</v>
      </c>
      <c r="I12" s="350">
        <f>VLOOKUP(A3,E6:H17,4)</f>
        <v>3</v>
      </c>
      <c r="N12" s="443"/>
      <c r="O12" s="434"/>
      <c r="P12" s="434"/>
      <c r="Q12" s="434"/>
      <c r="R12" s="434"/>
      <c r="S12" s="433"/>
      <c r="T12" s="434"/>
      <c r="U12" s="434"/>
      <c r="V12" s="434"/>
      <c r="W12" s="434"/>
      <c r="X12" s="434"/>
      <c r="Y12" s="435"/>
      <c r="AB12" s="4"/>
    </row>
    <row r="13" spans="1:28" ht="15" customHeight="1" thickBot="1" thickTop="1">
      <c r="A13" s="83">
        <v>8</v>
      </c>
      <c r="B13" s="83">
        <f>HLOOKUP($I$6,'名簿入力'!$B$3:$AK$46,12)</f>
        <v>0</v>
      </c>
      <c r="C13" s="83">
        <f>HLOOKUP($I$9,'名簿入力'!$B$3:$AK$46,12)</f>
        <v>0</v>
      </c>
      <c r="D13" s="83">
        <f>HLOOKUP($I$12,'名簿入力'!$B$3:$AK$46,12)</f>
        <v>0</v>
      </c>
      <c r="E13" s="4">
        <v>8</v>
      </c>
      <c r="F13" s="81">
        <v>22</v>
      </c>
      <c r="G13" s="81">
        <v>23</v>
      </c>
      <c r="H13" s="81">
        <v>24</v>
      </c>
      <c r="I13" s="350"/>
      <c r="N13" s="443"/>
      <c r="O13" s="434"/>
      <c r="P13" s="434"/>
      <c r="Q13" s="434"/>
      <c r="R13" s="434"/>
      <c r="S13" s="433"/>
      <c r="T13" s="434"/>
      <c r="U13" s="434"/>
      <c r="V13" s="434"/>
      <c r="W13" s="434"/>
      <c r="X13" s="434"/>
      <c r="Y13" s="435"/>
      <c r="AB13" s="4"/>
    </row>
    <row r="14" spans="1:28" ht="15" customHeight="1" thickTop="1">
      <c r="A14" s="83">
        <v>9</v>
      </c>
      <c r="B14" s="83">
        <f>HLOOKUP($I$6,'名簿入力'!$B$3:$AK$46,13)</f>
        <v>0</v>
      </c>
      <c r="C14" s="83">
        <f>HLOOKUP($I$9,'名簿入力'!$B$3:$AK$46,13)</f>
        <v>0</v>
      </c>
      <c r="D14" s="83">
        <f>HLOOKUP($I$12,'名簿入力'!$B$3:$AK$46,13)</f>
        <v>0</v>
      </c>
      <c r="E14" s="4">
        <v>9</v>
      </c>
      <c r="F14" s="81">
        <v>25</v>
      </c>
      <c r="G14" s="81">
        <v>26</v>
      </c>
      <c r="H14" s="81">
        <v>27</v>
      </c>
      <c r="N14" s="443"/>
      <c r="O14" s="434"/>
      <c r="P14" s="434"/>
      <c r="Q14" s="434"/>
      <c r="R14" s="434"/>
      <c r="S14" s="433"/>
      <c r="T14" s="434"/>
      <c r="U14" s="434"/>
      <c r="V14" s="434"/>
      <c r="W14" s="434"/>
      <c r="X14" s="434"/>
      <c r="Y14" s="435"/>
      <c r="AB14" s="4"/>
    </row>
    <row r="15" spans="1:28" ht="15" customHeight="1">
      <c r="A15" s="83">
        <v>10</v>
      </c>
      <c r="B15" s="83">
        <f>HLOOKUP($I$6,'名簿入力'!$B$3:$AK$46,14)</f>
        <v>0</v>
      </c>
      <c r="C15" s="83">
        <f>HLOOKUP($I$9,'名簿入力'!$B$3:$AK$46,14)</f>
        <v>0</v>
      </c>
      <c r="D15" s="83">
        <f>HLOOKUP($I$12,'名簿入力'!$B$3:$AK$46,14)</f>
        <v>0</v>
      </c>
      <c r="E15" s="4">
        <v>10</v>
      </c>
      <c r="F15" s="81">
        <v>28</v>
      </c>
      <c r="G15" s="81">
        <v>29</v>
      </c>
      <c r="H15" s="81">
        <v>30</v>
      </c>
      <c r="N15" s="443"/>
      <c r="O15" s="434"/>
      <c r="P15" s="434"/>
      <c r="Q15" s="434"/>
      <c r="R15" s="434"/>
      <c r="S15" s="433"/>
      <c r="T15" s="434"/>
      <c r="U15" s="434"/>
      <c r="V15" s="434"/>
      <c r="W15" s="434"/>
      <c r="X15" s="434"/>
      <c r="Y15" s="435"/>
      <c r="AB15" s="4"/>
    </row>
    <row r="16" spans="1:28" ht="15" customHeight="1">
      <c r="A16" s="83">
        <v>11</v>
      </c>
      <c r="B16" s="83">
        <f>HLOOKUP($I$6,'名簿入力'!$B$3:$AK$46,15)</f>
        <v>0</v>
      </c>
      <c r="C16" s="83">
        <f>HLOOKUP($I$9,'名簿入力'!$B$3:$AK$46,15)</f>
        <v>0</v>
      </c>
      <c r="D16" s="83">
        <f>HLOOKUP($I$12,'名簿入力'!$B$3:$AK$46,15)</f>
        <v>0</v>
      </c>
      <c r="E16" s="4">
        <v>11</v>
      </c>
      <c r="F16" s="81">
        <v>31</v>
      </c>
      <c r="G16" s="81">
        <v>32</v>
      </c>
      <c r="H16" s="81">
        <v>33</v>
      </c>
      <c r="N16" s="443"/>
      <c r="O16" s="434"/>
      <c r="P16" s="434"/>
      <c r="Q16" s="434"/>
      <c r="R16" s="434"/>
      <c r="S16" s="433"/>
      <c r="T16" s="434"/>
      <c r="U16" s="434"/>
      <c r="V16" s="434"/>
      <c r="W16" s="434"/>
      <c r="X16" s="434"/>
      <c r="Y16" s="435"/>
      <c r="AB16" s="4"/>
    </row>
    <row r="17" spans="1:28" ht="15" customHeight="1">
      <c r="A17" s="83">
        <v>12</v>
      </c>
      <c r="B17" s="83">
        <f>HLOOKUP($I$6,'名簿入力'!$B$3:$AK$46,16)</f>
        <v>0</v>
      </c>
      <c r="C17" s="83">
        <f>HLOOKUP($I$9,'名簿入力'!$B$3:$AK$46,16)</f>
        <v>0</v>
      </c>
      <c r="D17" s="83">
        <f>HLOOKUP($I$12,'名簿入力'!$B$3:$AK$46,16)</f>
        <v>0</v>
      </c>
      <c r="E17" s="4">
        <v>12</v>
      </c>
      <c r="F17" s="81">
        <v>34</v>
      </c>
      <c r="G17" s="81">
        <v>35</v>
      </c>
      <c r="H17" s="81">
        <v>36</v>
      </c>
      <c r="N17" s="443"/>
      <c r="O17" s="434"/>
      <c r="P17" s="434"/>
      <c r="Q17" s="434"/>
      <c r="R17" s="434"/>
      <c r="S17" s="433"/>
      <c r="T17" s="434"/>
      <c r="U17" s="434"/>
      <c r="V17" s="434"/>
      <c r="W17" s="434"/>
      <c r="X17" s="434"/>
      <c r="Y17" s="435"/>
      <c r="AB17" s="4"/>
    </row>
    <row r="18" spans="1:28" ht="15" customHeight="1">
      <c r="A18" s="83">
        <v>13</v>
      </c>
      <c r="B18" s="83">
        <f>HLOOKUP($I$6,'名簿入力'!$B$3:$AK$46,17)</f>
        <v>0</v>
      </c>
      <c r="C18" s="83">
        <f>HLOOKUP($I$9,'名簿入力'!$B$3:$AK$46,17)</f>
        <v>0</v>
      </c>
      <c r="D18" s="83">
        <f>HLOOKUP($I$12,'名簿入力'!$B$3:$AK$46,17)</f>
        <v>0</v>
      </c>
      <c r="N18" s="443"/>
      <c r="O18" s="434"/>
      <c r="P18" s="434"/>
      <c r="Q18" s="434"/>
      <c r="R18" s="434"/>
      <c r="S18" s="433"/>
      <c r="T18" s="434"/>
      <c r="U18" s="434"/>
      <c r="V18" s="434"/>
      <c r="W18" s="434"/>
      <c r="X18" s="434"/>
      <c r="Y18" s="435"/>
      <c r="AB18" s="4"/>
    </row>
    <row r="19" spans="1:28" ht="15" customHeight="1">
      <c r="A19" s="83">
        <v>14</v>
      </c>
      <c r="B19" s="83">
        <f>HLOOKUP($I$6,'名簿入力'!$B$3:$AK$46,18)</f>
        <v>0</v>
      </c>
      <c r="C19" s="83">
        <f>HLOOKUP($I$9,'名簿入力'!$B$3:$AK$46,18)</f>
        <v>0</v>
      </c>
      <c r="D19" s="83">
        <f>HLOOKUP($I$12,'名簿入力'!$B$3:$AK$46,18)</f>
        <v>0</v>
      </c>
      <c r="F19" s="357">
        <f>HLOOKUP(I6,'名簿入力'!B3:AK4,2)</f>
        <v>0</v>
      </c>
      <c r="G19" s="357"/>
      <c r="H19" s="357"/>
      <c r="N19" s="443"/>
      <c r="O19" s="434"/>
      <c r="P19" s="434"/>
      <c r="Q19" s="434"/>
      <c r="R19" s="434"/>
      <c r="S19" s="433"/>
      <c r="T19" s="434"/>
      <c r="U19" s="434"/>
      <c r="V19" s="434"/>
      <c r="W19" s="434"/>
      <c r="X19" s="434"/>
      <c r="Y19" s="435"/>
      <c r="AB19" s="4"/>
    </row>
    <row r="20" spans="1:28" ht="15" customHeight="1">
      <c r="A20" s="83">
        <v>15</v>
      </c>
      <c r="B20" s="83">
        <f>HLOOKUP($I$6,'名簿入力'!$B$3:$AK$46,19)</f>
        <v>0</v>
      </c>
      <c r="C20" s="83">
        <f>HLOOKUP($I$9,'名簿入力'!$B$3:$AK$46,19)</f>
        <v>0</v>
      </c>
      <c r="D20" s="83">
        <f>HLOOKUP($I$12,'名簿入力'!$B$3:$AK$46,19)</f>
        <v>0</v>
      </c>
      <c r="N20" s="443"/>
      <c r="O20" s="434"/>
      <c r="P20" s="434"/>
      <c r="Q20" s="434"/>
      <c r="R20" s="434"/>
      <c r="S20" s="433"/>
      <c r="T20" s="434"/>
      <c r="U20" s="434"/>
      <c r="V20" s="434"/>
      <c r="W20" s="434"/>
      <c r="X20" s="434"/>
      <c r="Y20" s="435"/>
      <c r="AB20" s="4"/>
    </row>
    <row r="21" spans="1:28" ht="15" customHeight="1">
      <c r="A21" s="83">
        <v>16</v>
      </c>
      <c r="B21" s="83">
        <f>HLOOKUP($I$6,'名簿入力'!$B$3:$AK$46,20)</f>
        <v>0</v>
      </c>
      <c r="C21" s="83">
        <f>HLOOKUP($I$9,'名簿入力'!$B$3:$AK$46,20)</f>
        <v>0</v>
      </c>
      <c r="D21" s="83">
        <f>HLOOKUP($I$12,'名簿入力'!$B$3:$AK$46,20)</f>
        <v>0</v>
      </c>
      <c r="N21" s="443"/>
      <c r="O21" s="434"/>
      <c r="P21" s="434"/>
      <c r="Q21" s="434"/>
      <c r="R21" s="434"/>
      <c r="S21" s="433"/>
      <c r="T21" s="434"/>
      <c r="U21" s="434"/>
      <c r="V21" s="434"/>
      <c r="W21" s="434"/>
      <c r="X21" s="434"/>
      <c r="Y21" s="435"/>
      <c r="AB21" s="4"/>
    </row>
    <row r="22" spans="1:28" ht="15" customHeight="1">
      <c r="A22" s="83">
        <v>17</v>
      </c>
      <c r="B22" s="83">
        <f>HLOOKUP($I$6,'名簿入力'!$B$3:$AK$46,21)</f>
        <v>0</v>
      </c>
      <c r="C22" s="83">
        <f>HLOOKUP($I$9,'名簿入力'!$B$3:$AK$46,21)</f>
        <v>0</v>
      </c>
      <c r="D22" s="83">
        <f>HLOOKUP($I$12,'名簿入力'!$B$3:$AK$46,21)</f>
        <v>0</v>
      </c>
      <c r="N22" s="443"/>
      <c r="O22" s="434"/>
      <c r="P22" s="434"/>
      <c r="Q22" s="434"/>
      <c r="R22" s="434"/>
      <c r="S22" s="433"/>
      <c r="T22" s="434"/>
      <c r="U22" s="434"/>
      <c r="V22" s="434"/>
      <c r="W22" s="434"/>
      <c r="X22" s="434"/>
      <c r="Y22" s="435"/>
      <c r="AB22" s="4"/>
    </row>
    <row r="23" spans="1:28" ht="15" customHeight="1">
      <c r="A23" s="83">
        <v>18</v>
      </c>
      <c r="B23" s="83">
        <f>HLOOKUP($I$6,'名簿入力'!$B$3:$AK$46,22)</f>
        <v>0</v>
      </c>
      <c r="C23" s="83">
        <f>HLOOKUP($I$9,'名簿入力'!$B$3:$AK$46,22)</f>
        <v>0</v>
      </c>
      <c r="D23" s="83">
        <f>HLOOKUP($I$12,'名簿入力'!$B$3:$AK$46,22)</f>
        <v>0</v>
      </c>
      <c r="N23" s="443"/>
      <c r="O23" s="434"/>
      <c r="P23" s="434"/>
      <c r="Q23" s="434"/>
      <c r="R23" s="434"/>
      <c r="S23" s="433"/>
      <c r="T23" s="434"/>
      <c r="U23" s="434"/>
      <c r="V23" s="434"/>
      <c r="W23" s="434"/>
      <c r="X23" s="434"/>
      <c r="Y23" s="435"/>
      <c r="AB23" s="4"/>
    </row>
    <row r="24" spans="1:28" ht="15" customHeight="1">
      <c r="A24" s="83">
        <v>19</v>
      </c>
      <c r="B24" s="83">
        <f>HLOOKUP($I$6,'名簿入力'!$B$3:$AK$46,23)</f>
        <v>0</v>
      </c>
      <c r="C24" s="83">
        <f>HLOOKUP($I$9,'名簿入力'!$B$3:$AK$46,23)</f>
        <v>0</v>
      </c>
      <c r="D24" s="83">
        <f>HLOOKUP($I$12,'名簿入力'!$B$3:$AK$46,23)</f>
        <v>0</v>
      </c>
      <c r="N24" s="443"/>
      <c r="O24" s="434"/>
      <c r="P24" s="434"/>
      <c r="Q24" s="434"/>
      <c r="R24" s="434"/>
      <c r="S24" s="433"/>
      <c r="T24" s="434"/>
      <c r="U24" s="434"/>
      <c r="V24" s="434"/>
      <c r="W24" s="434"/>
      <c r="X24" s="434"/>
      <c r="Y24" s="435"/>
      <c r="AB24" s="4"/>
    </row>
    <row r="25" spans="1:28" ht="15" customHeight="1" thickBot="1">
      <c r="A25" s="83">
        <v>20</v>
      </c>
      <c r="B25" s="83">
        <f>HLOOKUP($I$6,'名簿入力'!$B$3:$AK$46,24)</f>
        <v>0</v>
      </c>
      <c r="C25" s="83">
        <f>HLOOKUP($I$9,'名簿入力'!$B$3:$AK$46,24)</f>
        <v>0</v>
      </c>
      <c r="D25" s="83">
        <f>HLOOKUP($I$12,'名簿入力'!$B$3:$AK$46,24)</f>
        <v>0</v>
      </c>
      <c r="N25" s="444"/>
      <c r="O25" s="445"/>
      <c r="P25" s="445"/>
      <c r="Q25" s="445"/>
      <c r="R25" s="445"/>
      <c r="S25" s="446"/>
      <c r="T25" s="445"/>
      <c r="U25" s="445"/>
      <c r="V25" s="445"/>
      <c r="W25" s="445"/>
      <c r="X25" s="445"/>
      <c r="Y25" s="447"/>
      <c r="AB25" s="4"/>
    </row>
    <row r="26" spans="1:28" ht="15" customHeight="1" thickTop="1">
      <c r="A26" s="83">
        <v>21</v>
      </c>
      <c r="B26" s="83">
        <f>HLOOKUP($I$6,'名簿入力'!$B$3:$AK$46,25)</f>
        <v>0</v>
      </c>
      <c r="C26" s="83">
        <f>HLOOKUP($I$9,'名簿入力'!$B$3:$AK$46,25)</f>
        <v>0</v>
      </c>
      <c r="D26" s="83">
        <f>HLOOKUP($I$12,'名簿入力'!$B$3:$AK$46,25)</f>
        <v>0</v>
      </c>
      <c r="N26" s="448" t="s">
        <v>204</v>
      </c>
      <c r="O26" s="437"/>
      <c r="P26" s="437"/>
      <c r="Q26" s="437"/>
      <c r="R26" s="437"/>
      <c r="S26" s="436" t="s">
        <v>207</v>
      </c>
      <c r="T26" s="437"/>
      <c r="U26" s="437"/>
      <c r="V26" s="437"/>
      <c r="W26" s="437"/>
      <c r="X26" s="437"/>
      <c r="Y26" s="438"/>
      <c r="AB26" s="4"/>
    </row>
    <row r="27" spans="1:28" ht="15" customHeight="1" thickBot="1">
      <c r="A27" s="83">
        <v>22</v>
      </c>
      <c r="B27" s="83">
        <f>HLOOKUP($I$6,'名簿入力'!$B$3:$AK$46,26)</f>
        <v>0</v>
      </c>
      <c r="C27" s="83">
        <f>HLOOKUP($I$9,'名簿入力'!$B$3:$AK$46,26)</f>
        <v>0</v>
      </c>
      <c r="D27" s="83">
        <f>HLOOKUP($I$12,'名簿入力'!$B$3:$AK$46,26)</f>
        <v>0</v>
      </c>
      <c r="N27" s="442"/>
      <c r="O27" s="431"/>
      <c r="P27" s="431"/>
      <c r="Q27" s="431"/>
      <c r="R27" s="431"/>
      <c r="S27" s="430"/>
      <c r="T27" s="431"/>
      <c r="U27" s="431"/>
      <c r="V27" s="431"/>
      <c r="W27" s="431"/>
      <c r="X27" s="431"/>
      <c r="Y27" s="432"/>
      <c r="AB27" s="4"/>
    </row>
    <row r="28" spans="1:28" ht="15" customHeight="1" thickTop="1">
      <c r="A28" s="83">
        <v>23</v>
      </c>
      <c r="B28" s="83">
        <f>HLOOKUP($I$6,'名簿入力'!$B$3:$AK$46,27)</f>
        <v>0</v>
      </c>
      <c r="C28" s="83">
        <f>HLOOKUP($I$9,'名簿入力'!$B$3:$AK$46,27)</f>
        <v>0</v>
      </c>
      <c r="D28" s="83">
        <f>HLOOKUP($I$12,'名簿入力'!$B$3:$AK$46,27)</f>
        <v>0</v>
      </c>
      <c r="L28" s="439" t="s">
        <v>201</v>
      </c>
      <c r="N28" s="443"/>
      <c r="O28" s="434"/>
      <c r="P28" s="434"/>
      <c r="Q28" s="434"/>
      <c r="R28" s="434"/>
      <c r="S28" s="433"/>
      <c r="T28" s="434"/>
      <c r="U28" s="434"/>
      <c r="V28" s="434"/>
      <c r="W28" s="434"/>
      <c r="X28" s="434"/>
      <c r="Y28" s="435"/>
      <c r="AB28" s="4"/>
    </row>
    <row r="29" spans="1:28" ht="15" customHeight="1">
      <c r="A29" s="83">
        <v>24</v>
      </c>
      <c r="B29" s="83">
        <f>HLOOKUP($I$6,'名簿入力'!$B$3:$AK$46,28)</f>
        <v>0</v>
      </c>
      <c r="C29" s="83">
        <f>HLOOKUP($I$9,'名簿入力'!$B$3:$AK$46,28)</f>
        <v>0</v>
      </c>
      <c r="D29" s="83">
        <f>HLOOKUP($I$12,'名簿入力'!$B$3:$AK$46,28)</f>
        <v>0</v>
      </c>
      <c r="L29" s="440"/>
      <c r="N29" s="443"/>
      <c r="O29" s="434"/>
      <c r="P29" s="434"/>
      <c r="Q29" s="434"/>
      <c r="R29" s="434"/>
      <c r="S29" s="433"/>
      <c r="T29" s="434"/>
      <c r="U29" s="434"/>
      <c r="V29" s="434"/>
      <c r="W29" s="434"/>
      <c r="X29" s="434"/>
      <c r="Y29" s="435"/>
      <c r="AB29" s="4"/>
    </row>
    <row r="30" spans="1:28" ht="15" customHeight="1">
      <c r="A30" s="83">
        <v>25</v>
      </c>
      <c r="B30" s="83">
        <f>HLOOKUP($I$6,'名簿入力'!$B$3:$AK$46,29)</f>
        <v>0</v>
      </c>
      <c r="C30" s="83">
        <f>HLOOKUP($I$9,'名簿入力'!$B$3:$AK$46,29)</f>
        <v>0</v>
      </c>
      <c r="D30" s="83">
        <f>HLOOKUP($I$12,'名簿入力'!$B$3:$AK$46,29)</f>
        <v>0</v>
      </c>
      <c r="L30" s="440"/>
      <c r="N30" s="443"/>
      <c r="O30" s="434"/>
      <c r="P30" s="434"/>
      <c r="Q30" s="434"/>
      <c r="R30" s="434"/>
      <c r="S30" s="433"/>
      <c r="T30" s="434"/>
      <c r="U30" s="434"/>
      <c r="V30" s="434"/>
      <c r="W30" s="434"/>
      <c r="X30" s="434"/>
      <c r="Y30" s="435"/>
      <c r="AB30" s="4"/>
    </row>
    <row r="31" spans="1:28" ht="15" customHeight="1">
      <c r="A31" s="83">
        <v>26</v>
      </c>
      <c r="B31" s="83">
        <f>HLOOKUP($I$6,'名簿入力'!$B$3:$AK$46,30)</f>
        <v>0</v>
      </c>
      <c r="C31" s="83">
        <f>HLOOKUP($I$9,'名簿入力'!$B$3:$AK$46,30)</f>
        <v>0</v>
      </c>
      <c r="D31" s="83">
        <f>HLOOKUP($I$12,'名簿入力'!$B$3:$AK$46,30)</f>
        <v>0</v>
      </c>
      <c r="L31" s="440"/>
      <c r="N31" s="443"/>
      <c r="O31" s="434"/>
      <c r="P31" s="434"/>
      <c r="Q31" s="434"/>
      <c r="R31" s="434"/>
      <c r="S31" s="433"/>
      <c r="T31" s="434"/>
      <c r="U31" s="434"/>
      <c r="V31" s="434"/>
      <c r="W31" s="434"/>
      <c r="X31" s="434"/>
      <c r="Y31" s="435"/>
      <c r="AB31" s="4"/>
    </row>
    <row r="32" spans="1:28" ht="15" customHeight="1">
      <c r="A32" s="83">
        <v>27</v>
      </c>
      <c r="B32" s="83">
        <f>HLOOKUP($I$6,'名簿入力'!$B$3:$AK$46,31)</f>
        <v>0</v>
      </c>
      <c r="C32" s="83">
        <f>HLOOKUP($I$9,'名簿入力'!$B$3:$AK$46,31)</f>
        <v>0</v>
      </c>
      <c r="D32" s="83">
        <f>HLOOKUP($I$12,'名簿入力'!$B$3:$AK$46,31)</f>
        <v>0</v>
      </c>
      <c r="L32" s="440"/>
      <c r="N32" s="443"/>
      <c r="O32" s="434"/>
      <c r="P32" s="434"/>
      <c r="Q32" s="434"/>
      <c r="R32" s="434"/>
      <c r="S32" s="433"/>
      <c r="T32" s="434"/>
      <c r="U32" s="434"/>
      <c r="V32" s="434"/>
      <c r="W32" s="434"/>
      <c r="X32" s="434"/>
      <c r="Y32" s="435"/>
      <c r="AB32" s="4"/>
    </row>
    <row r="33" spans="1:28" ht="15" customHeight="1">
      <c r="A33" s="83">
        <v>28</v>
      </c>
      <c r="B33" s="83">
        <f>HLOOKUP($I$6,'名簿入力'!$B$3:$AK$46,32)</f>
        <v>0</v>
      </c>
      <c r="C33" s="83">
        <f>HLOOKUP($I$9,'名簿入力'!$B$3:$AK$46,32)</f>
        <v>0</v>
      </c>
      <c r="D33" s="83">
        <f>HLOOKUP($I$12,'名簿入力'!$B$3:$AK$46,32)</f>
        <v>0</v>
      </c>
      <c r="L33" s="440"/>
      <c r="N33" s="443"/>
      <c r="O33" s="434"/>
      <c r="P33" s="434"/>
      <c r="Q33" s="434"/>
      <c r="R33" s="434"/>
      <c r="S33" s="433"/>
      <c r="T33" s="434"/>
      <c r="U33" s="434"/>
      <c r="V33" s="434"/>
      <c r="W33" s="434"/>
      <c r="X33" s="434"/>
      <c r="Y33" s="435"/>
      <c r="AB33" s="4"/>
    </row>
    <row r="34" spans="1:28" ht="15" customHeight="1">
      <c r="A34" s="83">
        <v>29</v>
      </c>
      <c r="B34" s="83">
        <f>HLOOKUP($I$6,'名簿入力'!$B$3:$AK$46,33)</f>
        <v>0</v>
      </c>
      <c r="C34" s="83">
        <f>HLOOKUP($I$9,'名簿入力'!$B$3:$AK$46,33)</f>
        <v>0</v>
      </c>
      <c r="D34" s="83">
        <f>HLOOKUP($I$12,'名簿入力'!$B$3:$AK$46,33)</f>
        <v>0</v>
      </c>
      <c r="L34" s="440"/>
      <c r="N34" s="443"/>
      <c r="O34" s="434"/>
      <c r="P34" s="434"/>
      <c r="Q34" s="434"/>
      <c r="R34" s="434"/>
      <c r="S34" s="433"/>
      <c r="T34" s="434"/>
      <c r="U34" s="434"/>
      <c r="V34" s="434"/>
      <c r="W34" s="434"/>
      <c r="X34" s="434"/>
      <c r="Y34" s="435"/>
      <c r="AB34" s="4"/>
    </row>
    <row r="35" spans="1:28" ht="15" customHeight="1">
      <c r="A35" s="83">
        <v>30</v>
      </c>
      <c r="B35" s="83">
        <f>HLOOKUP($I$6,'名簿入力'!$B$3:$AK$46,34)</f>
        <v>0</v>
      </c>
      <c r="C35" s="83">
        <f>HLOOKUP($I$9,'名簿入力'!$B$3:$AK$46,34)</f>
        <v>0</v>
      </c>
      <c r="D35" s="83">
        <f>HLOOKUP($I$12,'名簿入力'!$B$3:$AK$46,34)</f>
        <v>0</v>
      </c>
      <c r="L35" s="440"/>
      <c r="N35" s="443"/>
      <c r="O35" s="434"/>
      <c r="P35" s="434"/>
      <c r="Q35" s="434"/>
      <c r="R35" s="434"/>
      <c r="S35" s="433"/>
      <c r="T35" s="434"/>
      <c r="U35" s="434"/>
      <c r="V35" s="434"/>
      <c r="W35" s="434"/>
      <c r="X35" s="434"/>
      <c r="Y35" s="435"/>
      <c r="AB35" s="4"/>
    </row>
    <row r="36" spans="1:28" ht="15" customHeight="1">
      <c r="A36" s="83">
        <v>31</v>
      </c>
      <c r="B36" s="83">
        <f>HLOOKUP($I$6,'名簿入力'!$B$3:$AK$46,35)</f>
        <v>0</v>
      </c>
      <c r="C36" s="83">
        <f>HLOOKUP($I$9,'名簿入力'!$B$3:$AK$46,35)</f>
        <v>0</v>
      </c>
      <c r="D36" s="83">
        <f>HLOOKUP($I$12,'名簿入力'!$B$3:$AK$46,35)</f>
        <v>0</v>
      </c>
      <c r="L36" s="440"/>
      <c r="N36" s="443"/>
      <c r="O36" s="434"/>
      <c r="P36" s="434"/>
      <c r="Q36" s="434"/>
      <c r="R36" s="434"/>
      <c r="S36" s="433"/>
      <c r="T36" s="434"/>
      <c r="U36" s="434"/>
      <c r="V36" s="434"/>
      <c r="W36" s="434"/>
      <c r="X36" s="434"/>
      <c r="Y36" s="435"/>
      <c r="AB36" s="4"/>
    </row>
    <row r="37" spans="1:28" ht="15" customHeight="1">
      <c r="A37" s="83">
        <v>32</v>
      </c>
      <c r="B37" s="83">
        <f>HLOOKUP($I$6,'名簿入力'!$B$3:$AK$46,36)</f>
        <v>0</v>
      </c>
      <c r="C37" s="83">
        <f>HLOOKUP($I$9,'名簿入力'!$B$3:$AK$46,36)</f>
        <v>0</v>
      </c>
      <c r="D37" s="83">
        <f>HLOOKUP($I$12,'名簿入力'!$B$3:$AK$46,36)</f>
        <v>0</v>
      </c>
      <c r="L37" s="440"/>
      <c r="N37" s="443"/>
      <c r="O37" s="434"/>
      <c r="P37" s="434"/>
      <c r="Q37" s="434"/>
      <c r="R37" s="434"/>
      <c r="S37" s="433"/>
      <c r="T37" s="434"/>
      <c r="U37" s="434"/>
      <c r="V37" s="434"/>
      <c r="W37" s="434"/>
      <c r="X37" s="434"/>
      <c r="Y37" s="435"/>
      <c r="AB37" s="4"/>
    </row>
    <row r="38" spans="1:28" ht="15" customHeight="1">
      <c r="A38" s="83">
        <v>33</v>
      </c>
      <c r="B38" s="83">
        <f>HLOOKUP($I$6,'名簿入力'!$B$3:$AK$46,37)</f>
        <v>0</v>
      </c>
      <c r="C38" s="83">
        <f>HLOOKUP($I$9,'名簿入力'!$B$3:$AK$46,37)</f>
        <v>0</v>
      </c>
      <c r="D38" s="83">
        <f>HLOOKUP($I$12,'名簿入力'!$B$3:$AK$46,37)</f>
        <v>0</v>
      </c>
      <c r="L38" s="440"/>
      <c r="N38" s="443"/>
      <c r="O38" s="434"/>
      <c r="P38" s="434"/>
      <c r="Q38" s="434"/>
      <c r="R38" s="434"/>
      <c r="S38" s="433"/>
      <c r="T38" s="434"/>
      <c r="U38" s="434"/>
      <c r="V38" s="434"/>
      <c r="W38" s="434"/>
      <c r="X38" s="434"/>
      <c r="Y38" s="435"/>
      <c r="AB38" s="4"/>
    </row>
    <row r="39" spans="1:28" ht="15" customHeight="1">
      <c r="A39" s="83">
        <v>34</v>
      </c>
      <c r="B39" s="83">
        <f>HLOOKUP($I$6,'名簿入力'!$B$3:$AK$46,38)</f>
        <v>0</v>
      </c>
      <c r="C39" s="83">
        <f>HLOOKUP($I$9,'名簿入力'!$B$3:$AK$46,38)</f>
        <v>0</v>
      </c>
      <c r="D39" s="83">
        <f>HLOOKUP($I$12,'名簿入力'!$B$3:$AK$46,38)</f>
        <v>0</v>
      </c>
      <c r="L39" s="440"/>
      <c r="N39" s="443"/>
      <c r="O39" s="434"/>
      <c r="P39" s="434"/>
      <c r="Q39" s="434"/>
      <c r="R39" s="434"/>
      <c r="S39" s="433"/>
      <c r="T39" s="434"/>
      <c r="U39" s="434"/>
      <c r="V39" s="434"/>
      <c r="W39" s="434"/>
      <c r="X39" s="434"/>
      <c r="Y39" s="435"/>
      <c r="AB39" s="4"/>
    </row>
    <row r="40" spans="1:28" ht="15" customHeight="1">
      <c r="A40" s="83">
        <v>35</v>
      </c>
      <c r="B40" s="83">
        <f>HLOOKUP($I$6,'名簿入力'!$B$3:$AK$46,39)</f>
        <v>0</v>
      </c>
      <c r="C40" s="83">
        <f>HLOOKUP($I$9,'名簿入力'!$B$3:$AK$46,39)</f>
        <v>0</v>
      </c>
      <c r="D40" s="83">
        <f>HLOOKUP($I$12,'名簿入力'!$B$3:$AK$46,39)</f>
        <v>0</v>
      </c>
      <c r="L40" s="440"/>
      <c r="N40" s="443"/>
      <c r="O40" s="434"/>
      <c r="P40" s="434"/>
      <c r="Q40" s="434"/>
      <c r="R40" s="434"/>
      <c r="S40" s="433"/>
      <c r="T40" s="434"/>
      <c r="U40" s="434"/>
      <c r="V40" s="434"/>
      <c r="W40" s="434"/>
      <c r="X40" s="434"/>
      <c r="Y40" s="435"/>
      <c r="AB40" s="4"/>
    </row>
    <row r="41" spans="1:28" ht="15" customHeight="1">
      <c r="A41" s="83">
        <v>36</v>
      </c>
      <c r="B41" s="83">
        <f>HLOOKUP($I$6,'名簿入力'!$B$3:$AK$46,40)</f>
        <v>0</v>
      </c>
      <c r="C41" s="83">
        <f>HLOOKUP($I$9,'名簿入力'!$B$3:$AK$46,40)</f>
        <v>0</v>
      </c>
      <c r="D41" s="83">
        <f>HLOOKUP($I$12,'名簿入力'!$B$3:$AK$46,40)</f>
        <v>0</v>
      </c>
      <c r="L41" s="440"/>
      <c r="N41" s="443"/>
      <c r="O41" s="434"/>
      <c r="P41" s="434"/>
      <c r="Q41" s="434"/>
      <c r="R41" s="434"/>
      <c r="S41" s="433"/>
      <c r="T41" s="434"/>
      <c r="U41" s="434"/>
      <c r="V41" s="434"/>
      <c r="W41" s="434"/>
      <c r="X41" s="434"/>
      <c r="Y41" s="435"/>
      <c r="AB41" s="4"/>
    </row>
    <row r="42" spans="1:28" ht="15" customHeight="1">
      <c r="A42" s="83">
        <v>37</v>
      </c>
      <c r="B42" s="83">
        <f>HLOOKUP($I$6,'名簿入力'!$B$3:$AK$46,41)</f>
        <v>0</v>
      </c>
      <c r="C42" s="83">
        <f>HLOOKUP($I$9,'名簿入力'!$B$3:$AK$46,41)</f>
        <v>0</v>
      </c>
      <c r="D42" s="83">
        <f>HLOOKUP($I$12,'名簿入力'!$B$3:$AK$46,41)</f>
        <v>0</v>
      </c>
      <c r="L42" s="440"/>
      <c r="N42" s="443"/>
      <c r="O42" s="434"/>
      <c r="P42" s="434"/>
      <c r="Q42" s="434"/>
      <c r="R42" s="434"/>
      <c r="S42" s="433"/>
      <c r="T42" s="434"/>
      <c r="U42" s="434"/>
      <c r="V42" s="434"/>
      <c r="W42" s="434"/>
      <c r="X42" s="434"/>
      <c r="Y42" s="435"/>
      <c r="AB42" s="4"/>
    </row>
    <row r="43" spans="1:28" ht="15" customHeight="1">
      <c r="A43" s="83">
        <v>38</v>
      </c>
      <c r="B43" s="83">
        <f>HLOOKUP($I$6,'名簿入力'!$B$3:$AK$46,42)</f>
        <v>0</v>
      </c>
      <c r="C43" s="83">
        <f>HLOOKUP($I$9,'名簿入力'!$B$3:$AK$46,42)</f>
        <v>0</v>
      </c>
      <c r="D43" s="83">
        <f>HLOOKUP($I$12,'名簿入力'!$B$3:$AK$46,42)</f>
        <v>0</v>
      </c>
      <c r="L43" s="440"/>
      <c r="N43" s="443"/>
      <c r="O43" s="434"/>
      <c r="P43" s="434"/>
      <c r="Q43" s="434"/>
      <c r="R43" s="434"/>
      <c r="S43" s="433"/>
      <c r="T43" s="434"/>
      <c r="U43" s="434"/>
      <c r="V43" s="434"/>
      <c r="W43" s="434"/>
      <c r="X43" s="434"/>
      <c r="Y43" s="435"/>
      <c r="AB43" s="4"/>
    </row>
    <row r="44" spans="1:28" ht="15" customHeight="1">
      <c r="A44" s="83">
        <v>39</v>
      </c>
      <c r="B44" s="83">
        <f>HLOOKUP($I$6,'名簿入力'!$B$3:$AK$46,43)</f>
        <v>0</v>
      </c>
      <c r="C44" s="83">
        <f>HLOOKUP($I$9,'名簿入力'!$B$3:$AK$46,43)</f>
        <v>0</v>
      </c>
      <c r="D44" s="83">
        <f>HLOOKUP($I$12,'名簿入力'!$B$3:$AK$46,43)</f>
        <v>0</v>
      </c>
      <c r="L44" s="440"/>
      <c r="N44" s="443"/>
      <c r="O44" s="434"/>
      <c r="P44" s="434"/>
      <c r="Q44" s="434"/>
      <c r="R44" s="434"/>
      <c r="S44" s="433"/>
      <c r="T44" s="434"/>
      <c r="U44" s="434"/>
      <c r="V44" s="434"/>
      <c r="W44" s="434"/>
      <c r="X44" s="434"/>
      <c r="Y44" s="435"/>
      <c r="AB44" s="4"/>
    </row>
    <row r="45" spans="1:28" ht="15" customHeight="1">
      <c r="A45" s="83">
        <v>40</v>
      </c>
      <c r="B45" s="83">
        <f>HLOOKUP($I$6,'名簿入力'!$B$3:$AK$46,44)</f>
        <v>0</v>
      </c>
      <c r="C45" s="83">
        <f>HLOOKUP($I$9,'名簿入力'!$B$3:$AK$46,44)</f>
        <v>0</v>
      </c>
      <c r="D45" s="83">
        <f>HLOOKUP($I$12,'名簿入力'!$B$3:$AK$46,44)</f>
        <v>0</v>
      </c>
      <c r="L45" s="440"/>
      <c r="N45" s="448"/>
      <c r="O45" s="437"/>
      <c r="P45" s="437"/>
      <c r="Q45" s="437"/>
      <c r="R45" s="437"/>
      <c r="S45" s="436"/>
      <c r="T45" s="437"/>
      <c r="U45" s="437"/>
      <c r="V45" s="437"/>
      <c r="W45" s="437"/>
      <c r="X45" s="437"/>
      <c r="Y45" s="438"/>
      <c r="AB45" s="4"/>
    </row>
    <row r="46" spans="12:25" ht="15" customHeight="1">
      <c r="L46" s="440"/>
      <c r="N46" s="403" t="s">
        <v>200</v>
      </c>
      <c r="O46" s="403"/>
      <c r="P46" s="403"/>
      <c r="Q46" s="403"/>
      <c r="R46" s="56"/>
      <c r="S46" s="56"/>
      <c r="T46" s="56"/>
      <c r="U46" s="56"/>
      <c r="V46" s="56"/>
      <c r="W46" s="56"/>
      <c r="X46" s="56"/>
      <c r="Y46" s="56"/>
    </row>
    <row r="47" spans="12:25" ht="15" customHeight="1" thickBot="1">
      <c r="L47" s="440"/>
      <c r="N47" s="404"/>
      <c r="O47" s="404"/>
      <c r="P47" s="404"/>
      <c r="Q47" s="404"/>
      <c r="R47" s="57"/>
      <c r="S47" s="57"/>
      <c r="T47" s="57"/>
      <c r="U47" s="57"/>
      <c r="V47" s="57"/>
      <c r="W47" s="57"/>
      <c r="X47" s="57"/>
      <c r="Y47" s="57"/>
    </row>
    <row r="48" spans="12:25" ht="15" customHeight="1">
      <c r="L48" s="440"/>
      <c r="N48" s="388" t="s">
        <v>163</v>
      </c>
      <c r="O48" s="389" t="s">
        <v>152</v>
      </c>
      <c r="P48" s="391" t="s">
        <v>153</v>
      </c>
      <c r="Q48" s="393" t="s">
        <v>154</v>
      </c>
      <c r="R48" s="395" t="s">
        <v>164</v>
      </c>
      <c r="S48" s="396"/>
      <c r="T48" s="396"/>
      <c r="U48" s="396"/>
      <c r="V48" s="396"/>
      <c r="W48" s="396"/>
      <c r="X48" s="396"/>
      <c r="Y48" s="397"/>
    </row>
    <row r="49" spans="12:25" ht="15" customHeight="1" thickBot="1">
      <c r="L49" s="441"/>
      <c r="N49" s="374"/>
      <c r="O49" s="390"/>
      <c r="P49" s="392"/>
      <c r="Q49" s="394"/>
      <c r="R49" s="398"/>
      <c r="S49" s="399"/>
      <c r="T49" s="399"/>
      <c r="U49" s="399"/>
      <c r="V49" s="399"/>
      <c r="W49" s="399"/>
      <c r="X49" s="399"/>
      <c r="Y49" s="400"/>
    </row>
    <row r="50" spans="12:25" ht="15" customHeight="1" thickBot="1" thickTop="1">
      <c r="L50" s="345"/>
      <c r="M50" s="352" t="s">
        <v>165</v>
      </c>
      <c r="N50" s="373">
        <v>1</v>
      </c>
      <c r="O50" s="351">
        <f>IF(L50&gt;=1,VLOOKUP(L50,$A$6:$D$45,3),"")</f>
      </c>
      <c r="P50" s="358">
        <f>IF(L50&gt;=1,VLOOKUP(L50,$A$6:$D$45,2),"")</f>
      </c>
      <c r="Q50" s="360">
        <f>IF(L50&gt;=1,VLOOKUP(L50,$A$6:$D$45,4),"")</f>
      </c>
      <c r="R50" s="377"/>
      <c r="S50" s="378"/>
      <c r="T50" s="378"/>
      <c r="U50" s="378"/>
      <c r="V50" s="378"/>
      <c r="W50" s="378"/>
      <c r="X50" s="378"/>
      <c r="Y50" s="379"/>
    </row>
    <row r="51" spans="12:25" ht="15" customHeight="1" thickBot="1" thickTop="1">
      <c r="L51" s="345"/>
      <c r="M51" s="352"/>
      <c r="N51" s="374"/>
      <c r="O51" s="351"/>
      <c r="P51" s="358"/>
      <c r="Q51" s="360"/>
      <c r="R51" s="380"/>
      <c r="S51" s="381"/>
      <c r="T51" s="381"/>
      <c r="U51" s="381"/>
      <c r="V51" s="381"/>
      <c r="W51" s="381"/>
      <c r="X51" s="381"/>
      <c r="Y51" s="382"/>
    </row>
    <row r="52" spans="12:25" ht="15" customHeight="1" thickBot="1" thickTop="1">
      <c r="L52" s="345"/>
      <c r="M52" s="352" t="s">
        <v>165</v>
      </c>
      <c r="N52" s="373">
        <v>2</v>
      </c>
      <c r="O52" s="351">
        <f>IF(L52&gt;=1,VLOOKUP(L52,$A$6:$D$45,3),"")</f>
      </c>
      <c r="P52" s="358">
        <f>IF(L52&gt;=1,VLOOKUP(L52,$A$6:$D$45,2),"")</f>
      </c>
      <c r="Q52" s="360">
        <f>IF(L52&gt;=1,VLOOKUP(L52,$A$6:$D$45,4),"")</f>
      </c>
      <c r="R52" s="377"/>
      <c r="S52" s="378"/>
      <c r="T52" s="378"/>
      <c r="U52" s="378"/>
      <c r="V52" s="378"/>
      <c r="W52" s="378"/>
      <c r="X52" s="378"/>
      <c r="Y52" s="379"/>
    </row>
    <row r="53" spans="12:25" ht="15" customHeight="1" thickBot="1" thickTop="1">
      <c r="L53" s="345"/>
      <c r="M53" s="352"/>
      <c r="N53" s="374"/>
      <c r="O53" s="351"/>
      <c r="P53" s="358"/>
      <c r="Q53" s="360"/>
      <c r="R53" s="380"/>
      <c r="S53" s="381"/>
      <c r="T53" s="381"/>
      <c r="U53" s="381"/>
      <c r="V53" s="381"/>
      <c r="W53" s="381"/>
      <c r="X53" s="381"/>
      <c r="Y53" s="382"/>
    </row>
    <row r="54" spans="12:25" ht="15" customHeight="1" thickBot="1" thickTop="1">
      <c r="L54" s="345"/>
      <c r="M54" s="352" t="s">
        <v>165</v>
      </c>
      <c r="N54" s="373">
        <v>3</v>
      </c>
      <c r="O54" s="351">
        <f>IF(L54&gt;=1,VLOOKUP(L54,$A$6:$D$45,3),"")</f>
      </c>
      <c r="P54" s="358">
        <f>IF(L54&gt;=1,VLOOKUP(L54,$A$6:$D$45,2),"")</f>
      </c>
      <c r="Q54" s="360">
        <f>IF(L54&gt;=1,VLOOKUP(L54,$A$6:$D$45,4),"")</f>
      </c>
      <c r="R54" s="377"/>
      <c r="S54" s="378"/>
      <c r="T54" s="378"/>
      <c r="U54" s="378"/>
      <c r="V54" s="378"/>
      <c r="W54" s="378"/>
      <c r="X54" s="378"/>
      <c r="Y54" s="379"/>
    </row>
    <row r="55" spans="12:25" ht="15" customHeight="1" thickBot="1" thickTop="1">
      <c r="L55" s="345"/>
      <c r="M55" s="352"/>
      <c r="N55" s="375"/>
      <c r="O55" s="376"/>
      <c r="P55" s="383"/>
      <c r="Q55" s="384"/>
      <c r="R55" s="385"/>
      <c r="S55" s="386"/>
      <c r="T55" s="386"/>
      <c r="U55" s="386"/>
      <c r="V55" s="386"/>
      <c r="W55" s="386"/>
      <c r="X55" s="386"/>
      <c r="Y55" s="387"/>
    </row>
    <row r="56" spans="14:25" ht="31.5" customHeight="1" thickTop="1">
      <c r="N56" s="342" t="s">
        <v>190</v>
      </c>
      <c r="O56" s="342"/>
      <c r="P56" s="342"/>
      <c r="Q56" s="342"/>
      <c r="R56" s="342"/>
      <c r="S56" s="342"/>
      <c r="T56" s="342"/>
      <c r="U56" s="342"/>
      <c r="V56" s="342"/>
      <c r="W56" s="342"/>
      <c r="X56" s="342"/>
      <c r="Y56" s="342"/>
    </row>
    <row r="57" ht="15" customHeight="1"/>
    <row r="58" ht="15" customHeight="1"/>
    <row r="59" ht="15" customHeight="1"/>
    <row r="60" ht="15" customHeight="1"/>
    <row r="61" ht="15" customHeight="1"/>
    <row r="62" ht="15" customHeight="1"/>
    <row r="63" ht="15" customHeight="1"/>
    <row r="64" ht="15" customHeight="1"/>
  </sheetData>
  <sheetProtection password="DA1F" sheet="1" objects="1" scenarios="1"/>
  <mergeCells count="51">
    <mergeCell ref="Q52:Q53"/>
    <mergeCell ref="N56:Y56"/>
    <mergeCell ref="L28:L49"/>
    <mergeCell ref="N7:R25"/>
    <mergeCell ref="S7:Y25"/>
    <mergeCell ref="N26:R26"/>
    <mergeCell ref="S26:Y26"/>
    <mergeCell ref="N27:R45"/>
    <mergeCell ref="L54:L55"/>
    <mergeCell ref="M54:M55"/>
    <mergeCell ref="N54:N55"/>
    <mergeCell ref="L52:L53"/>
    <mergeCell ref="M52:M53"/>
    <mergeCell ref="N52:N53"/>
    <mergeCell ref="O52:O53"/>
    <mergeCell ref="P52:P53"/>
    <mergeCell ref="R54:Y55"/>
    <mergeCell ref="O54:O55"/>
    <mergeCell ref="P54:P55"/>
    <mergeCell ref="Q54:Q55"/>
    <mergeCell ref="O48:O49"/>
    <mergeCell ref="P48:P49"/>
    <mergeCell ref="Q48:Q49"/>
    <mergeCell ref="R52:Y53"/>
    <mergeCell ref="R50:Y51"/>
    <mergeCell ref="L50:L51"/>
    <mergeCell ref="M50:M51"/>
    <mergeCell ref="N50:N51"/>
    <mergeCell ref="O50:O51"/>
    <mergeCell ref="P50:P51"/>
    <mergeCell ref="Q50:Q51"/>
    <mergeCell ref="Y2:Y3"/>
    <mergeCell ref="A3:B4"/>
    <mergeCell ref="Q2:S3"/>
    <mergeCell ref="R48:Y49"/>
    <mergeCell ref="S27:Y45"/>
    <mergeCell ref="F19:H19"/>
    <mergeCell ref="I12:I13"/>
    <mergeCell ref="I9:I10"/>
    <mergeCell ref="N46:Q47"/>
    <mergeCell ref="N48:N49"/>
    <mergeCell ref="I6:I7"/>
    <mergeCell ref="N6:R6"/>
    <mergeCell ref="S6:Y6"/>
    <mergeCell ref="N4:Q5"/>
    <mergeCell ref="A1:D1"/>
    <mergeCell ref="N1:Y1"/>
    <mergeCell ref="A2:B2"/>
    <mergeCell ref="N2:O3"/>
    <mergeCell ref="P2:P3"/>
    <mergeCell ref="T2:X3"/>
  </mergeCells>
  <conditionalFormatting sqref="L50:L55">
    <cfRule type="cellIs" priority="1" dxfId="42" operator="equal">
      <formula>""</formula>
    </cfRule>
  </conditionalFormatting>
  <dataValidations count="1">
    <dataValidation type="list" showInputMessage="1" showErrorMessage="1" error="リストから年代を選択してください。" sqref="Q2:S3">
      <formula1>"U-13,U-14,U-15,リストから年代を選択"</formula1>
    </dataValidation>
  </dataValidations>
  <printOptions/>
  <pageMargins left="0.48" right="0.39" top="0.33" bottom="0.27" header="0.22" footer="0.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K49"/>
  <sheetViews>
    <sheetView zoomScale="85" zoomScaleNormal="85" zoomScalePageLayoutView="0" workbookViewId="0" topLeftCell="A1">
      <selection activeCell="B8" sqref="B8"/>
    </sheetView>
  </sheetViews>
  <sheetFormatPr defaultColWidth="9.140625" defaultRowHeight="15"/>
  <cols>
    <col min="1" max="1" width="12.421875" style="1" customWidth="1"/>
    <col min="2" max="2" width="10.57421875" style="1" customWidth="1"/>
    <col min="3" max="3" width="5.57421875" style="10" customWidth="1"/>
    <col min="4" max="4" width="10.57421875" style="2" customWidth="1"/>
    <col min="5" max="5" width="10.57421875" style="1" customWidth="1"/>
    <col min="6" max="6" width="5.57421875" style="10" customWidth="1"/>
    <col min="7" max="7" width="10.57421875" style="2" customWidth="1"/>
    <col min="8" max="8" width="10.57421875" style="1" customWidth="1"/>
    <col min="9" max="9" width="5.57421875" style="10" customWidth="1"/>
    <col min="10" max="10" width="10.57421875" style="2" customWidth="1"/>
    <col min="11" max="11" width="10.57421875" style="1" customWidth="1"/>
    <col min="12" max="12" width="5.57421875" style="10" customWidth="1"/>
    <col min="13" max="13" width="10.57421875" style="2" customWidth="1"/>
    <col min="14" max="14" width="10.57421875" style="1" customWidth="1"/>
    <col min="15" max="15" width="5.57421875" style="10" customWidth="1"/>
    <col min="16" max="16" width="10.57421875" style="2" customWidth="1"/>
    <col min="17" max="17" width="10.57421875" style="1" customWidth="1"/>
    <col min="18" max="18" width="5.57421875" style="10" customWidth="1"/>
    <col min="19" max="19" width="10.57421875" style="2" customWidth="1"/>
    <col min="20" max="20" width="10.57421875" style="1" customWidth="1"/>
    <col min="21" max="21" width="5.57421875" style="10" customWidth="1"/>
    <col min="22" max="22" width="10.57421875" style="2" customWidth="1"/>
    <col min="23" max="23" width="10.57421875" style="1" customWidth="1"/>
    <col min="24" max="24" width="5.57421875" style="10" customWidth="1"/>
    <col min="25" max="25" width="10.57421875" style="2" customWidth="1"/>
    <col min="26" max="26" width="10.57421875" style="1" customWidth="1"/>
    <col min="27" max="27" width="5.57421875" style="10" customWidth="1"/>
    <col min="28" max="28" width="10.57421875" style="2" customWidth="1"/>
    <col min="29" max="29" width="10.57421875" style="1" customWidth="1"/>
    <col min="30" max="30" width="5.57421875" style="10" customWidth="1"/>
    <col min="31" max="31" width="10.57421875" style="2" customWidth="1"/>
    <col min="32" max="32" width="10.57421875" style="1" customWidth="1"/>
    <col min="33" max="33" width="5.57421875" style="10" customWidth="1"/>
    <col min="34" max="34" width="10.57421875" style="2" customWidth="1"/>
    <col min="35" max="35" width="10.57421875" style="1" customWidth="1"/>
    <col min="36" max="36" width="5.57421875" style="10" customWidth="1"/>
    <col min="37" max="37" width="10.57421875" style="2" customWidth="1"/>
  </cols>
  <sheetData>
    <row r="1" spans="1:37" ht="29.25" customHeight="1" thickBot="1">
      <c r="A1" s="205" t="s">
        <v>188</v>
      </c>
      <c r="B1" s="206"/>
      <c r="C1" s="206"/>
      <c r="D1" s="206"/>
      <c r="E1" s="206"/>
      <c r="F1" s="206"/>
      <c r="G1" s="206"/>
      <c r="H1" s="206"/>
      <c r="I1" s="206"/>
      <c r="J1" s="206"/>
      <c r="K1" s="18"/>
      <c r="L1" s="18"/>
      <c r="M1" s="18"/>
      <c r="N1" s="18"/>
      <c r="O1" s="18"/>
      <c r="P1" s="18"/>
      <c r="Q1" s="18"/>
      <c r="R1" s="18"/>
      <c r="S1" s="18"/>
      <c r="T1" s="18"/>
      <c r="U1" s="18"/>
      <c r="V1" s="18"/>
      <c r="W1" s="18"/>
      <c r="X1" s="18"/>
      <c r="Y1" s="18"/>
      <c r="Z1" s="18"/>
      <c r="AA1" s="18"/>
      <c r="AB1" s="18"/>
      <c r="AC1" s="18"/>
      <c r="AD1" s="18"/>
      <c r="AE1" s="18"/>
      <c r="AF1" s="18"/>
      <c r="AG1" s="18"/>
      <c r="AH1" s="18"/>
      <c r="AI1" s="18"/>
      <c r="AJ1" s="18"/>
      <c r="AK1" s="3"/>
    </row>
    <row r="2" spans="1:37" ht="29.25" customHeight="1" thickTop="1">
      <c r="A2" s="11" t="s">
        <v>67</v>
      </c>
      <c r="B2" s="202">
        <v>1</v>
      </c>
      <c r="C2" s="203"/>
      <c r="D2" s="204"/>
      <c r="E2" s="202">
        <v>2</v>
      </c>
      <c r="F2" s="203"/>
      <c r="G2" s="204"/>
      <c r="H2" s="202">
        <v>3</v>
      </c>
      <c r="I2" s="203"/>
      <c r="J2" s="204"/>
      <c r="K2" s="202">
        <v>4</v>
      </c>
      <c r="L2" s="203"/>
      <c r="M2" s="204"/>
      <c r="N2" s="202">
        <v>5</v>
      </c>
      <c r="O2" s="203"/>
      <c r="P2" s="204"/>
      <c r="Q2" s="202">
        <v>6</v>
      </c>
      <c r="R2" s="203"/>
      <c r="S2" s="204"/>
      <c r="T2" s="202">
        <v>7</v>
      </c>
      <c r="U2" s="203"/>
      <c r="V2" s="204"/>
      <c r="W2" s="202">
        <v>8</v>
      </c>
      <c r="X2" s="203"/>
      <c r="Y2" s="204"/>
      <c r="Z2" s="202">
        <v>9</v>
      </c>
      <c r="AA2" s="203"/>
      <c r="AB2" s="204"/>
      <c r="AC2" s="202">
        <v>10</v>
      </c>
      <c r="AD2" s="203"/>
      <c r="AE2" s="203"/>
      <c r="AF2" s="202">
        <v>11</v>
      </c>
      <c r="AG2" s="203"/>
      <c r="AH2" s="204"/>
      <c r="AI2" s="202">
        <v>12</v>
      </c>
      <c r="AJ2" s="203"/>
      <c r="AK2" s="204"/>
    </row>
    <row r="3" spans="1:37" ht="29.25" customHeight="1" hidden="1">
      <c r="A3" s="11" t="s">
        <v>85</v>
      </c>
      <c r="B3" s="24">
        <v>1</v>
      </c>
      <c r="C3" s="19">
        <v>2</v>
      </c>
      <c r="D3" s="25">
        <v>3</v>
      </c>
      <c r="E3" s="24">
        <v>4</v>
      </c>
      <c r="F3" s="19">
        <v>5</v>
      </c>
      <c r="G3" s="25">
        <v>6</v>
      </c>
      <c r="H3" s="24">
        <v>7</v>
      </c>
      <c r="I3" s="19">
        <v>8</v>
      </c>
      <c r="J3" s="25">
        <v>9</v>
      </c>
      <c r="K3" s="24">
        <v>10</v>
      </c>
      <c r="L3" s="19">
        <v>11</v>
      </c>
      <c r="M3" s="25">
        <v>12</v>
      </c>
      <c r="N3" s="24">
        <v>13</v>
      </c>
      <c r="O3" s="19">
        <v>14</v>
      </c>
      <c r="P3" s="25">
        <v>15</v>
      </c>
      <c r="Q3" s="24">
        <v>16</v>
      </c>
      <c r="R3" s="19">
        <v>17</v>
      </c>
      <c r="S3" s="25">
        <v>18</v>
      </c>
      <c r="T3" s="24">
        <v>19</v>
      </c>
      <c r="U3" s="19">
        <v>20</v>
      </c>
      <c r="V3" s="25">
        <v>21</v>
      </c>
      <c r="W3" s="24">
        <v>22</v>
      </c>
      <c r="X3" s="19">
        <v>23</v>
      </c>
      <c r="Y3" s="25">
        <v>24</v>
      </c>
      <c r="Z3" s="24">
        <v>25</v>
      </c>
      <c r="AA3" s="19">
        <v>26</v>
      </c>
      <c r="AB3" s="25">
        <v>27</v>
      </c>
      <c r="AC3" s="24">
        <v>28</v>
      </c>
      <c r="AD3" s="19">
        <v>29</v>
      </c>
      <c r="AE3" s="19">
        <v>30</v>
      </c>
      <c r="AF3" s="24">
        <v>31</v>
      </c>
      <c r="AG3" s="19">
        <v>32</v>
      </c>
      <c r="AH3" s="25">
        <v>33</v>
      </c>
      <c r="AI3" s="24">
        <v>34</v>
      </c>
      <c r="AJ3" s="19">
        <v>35</v>
      </c>
      <c r="AK3" s="25">
        <v>36</v>
      </c>
    </row>
    <row r="4" spans="1:37" ht="21" customHeight="1">
      <c r="A4" s="11" t="s">
        <v>144</v>
      </c>
      <c r="B4" s="26"/>
      <c r="C4" s="20"/>
      <c r="D4" s="27"/>
      <c r="E4" s="26"/>
      <c r="F4" s="20"/>
      <c r="G4" s="27"/>
      <c r="H4" s="26"/>
      <c r="I4" s="20"/>
      <c r="J4" s="27"/>
      <c r="K4" s="26"/>
      <c r="L4" s="20"/>
      <c r="M4" s="27"/>
      <c r="N4" s="26"/>
      <c r="O4" s="20"/>
      <c r="P4" s="27"/>
      <c r="Q4" s="26"/>
      <c r="R4" s="20"/>
      <c r="S4" s="27"/>
      <c r="T4" s="26"/>
      <c r="U4" s="20"/>
      <c r="V4" s="27"/>
      <c r="W4" s="26"/>
      <c r="X4" s="20"/>
      <c r="Y4" s="27"/>
      <c r="Z4" s="26"/>
      <c r="AA4" s="20"/>
      <c r="AB4" s="27"/>
      <c r="AC4" s="26"/>
      <c r="AD4" s="20"/>
      <c r="AE4" s="20"/>
      <c r="AF4" s="26"/>
      <c r="AG4" s="20"/>
      <c r="AH4" s="27"/>
      <c r="AI4" s="26"/>
      <c r="AJ4" s="20"/>
      <c r="AK4" s="27"/>
    </row>
    <row r="5" spans="1:37" ht="21" customHeight="1">
      <c r="A5" s="11">
        <v>1</v>
      </c>
      <c r="B5" s="28" t="s">
        <v>68</v>
      </c>
      <c r="C5" s="21" t="s">
        <v>142</v>
      </c>
      <c r="D5" s="29" t="s">
        <v>186</v>
      </c>
      <c r="E5" s="28" t="s">
        <v>68</v>
      </c>
      <c r="F5" s="21" t="s">
        <v>142</v>
      </c>
      <c r="G5" s="29" t="s">
        <v>186</v>
      </c>
      <c r="H5" s="28" t="s">
        <v>68</v>
      </c>
      <c r="I5" s="21" t="s">
        <v>142</v>
      </c>
      <c r="J5" s="29" t="s">
        <v>186</v>
      </c>
      <c r="K5" s="28" t="s">
        <v>68</v>
      </c>
      <c r="L5" s="21" t="s">
        <v>142</v>
      </c>
      <c r="M5" s="29" t="s">
        <v>186</v>
      </c>
      <c r="N5" s="28" t="s">
        <v>68</v>
      </c>
      <c r="O5" s="21" t="s">
        <v>142</v>
      </c>
      <c r="P5" s="29" t="s">
        <v>186</v>
      </c>
      <c r="Q5" s="28" t="s">
        <v>68</v>
      </c>
      <c r="R5" s="21" t="s">
        <v>142</v>
      </c>
      <c r="S5" s="29" t="s">
        <v>186</v>
      </c>
      <c r="T5" s="28" t="s">
        <v>68</v>
      </c>
      <c r="U5" s="21" t="s">
        <v>142</v>
      </c>
      <c r="V5" s="29" t="s">
        <v>186</v>
      </c>
      <c r="W5" s="28" t="s">
        <v>68</v>
      </c>
      <c r="X5" s="21" t="s">
        <v>142</v>
      </c>
      <c r="Y5" s="29" t="s">
        <v>186</v>
      </c>
      <c r="Z5" s="28" t="s">
        <v>68</v>
      </c>
      <c r="AA5" s="21" t="s">
        <v>142</v>
      </c>
      <c r="AB5" s="29" t="s">
        <v>186</v>
      </c>
      <c r="AC5" s="28" t="s">
        <v>68</v>
      </c>
      <c r="AD5" s="21" t="s">
        <v>142</v>
      </c>
      <c r="AE5" s="29" t="s">
        <v>186</v>
      </c>
      <c r="AF5" s="28" t="s">
        <v>68</v>
      </c>
      <c r="AG5" s="21" t="s">
        <v>142</v>
      </c>
      <c r="AH5" s="29" t="s">
        <v>186</v>
      </c>
      <c r="AI5" s="28" t="s">
        <v>68</v>
      </c>
      <c r="AJ5" s="21" t="s">
        <v>142</v>
      </c>
      <c r="AK5" s="29" t="s">
        <v>186</v>
      </c>
    </row>
    <row r="6" spans="1:37" ht="21" customHeight="1">
      <c r="A6" s="11">
        <v>2</v>
      </c>
      <c r="B6" s="30" t="s">
        <v>69</v>
      </c>
      <c r="C6" s="12"/>
      <c r="D6" s="31"/>
      <c r="E6" s="30" t="s">
        <v>69</v>
      </c>
      <c r="F6" s="12"/>
      <c r="G6" s="31"/>
      <c r="H6" s="30" t="s">
        <v>69</v>
      </c>
      <c r="I6" s="12"/>
      <c r="J6" s="31"/>
      <c r="K6" s="30" t="s">
        <v>69</v>
      </c>
      <c r="L6" s="12"/>
      <c r="M6" s="31"/>
      <c r="N6" s="30" t="s">
        <v>69</v>
      </c>
      <c r="O6" s="12"/>
      <c r="P6" s="31"/>
      <c r="Q6" s="30" t="s">
        <v>69</v>
      </c>
      <c r="R6" s="12"/>
      <c r="S6" s="31"/>
      <c r="T6" s="30" t="s">
        <v>69</v>
      </c>
      <c r="U6" s="12"/>
      <c r="V6" s="31"/>
      <c r="W6" s="30" t="s">
        <v>69</v>
      </c>
      <c r="X6" s="12"/>
      <c r="Y6" s="31"/>
      <c r="Z6" s="30" t="s">
        <v>69</v>
      </c>
      <c r="AA6" s="12"/>
      <c r="AB6" s="31"/>
      <c r="AC6" s="30" t="s">
        <v>69</v>
      </c>
      <c r="AD6" s="12"/>
      <c r="AE6" s="13"/>
      <c r="AF6" s="30" t="s">
        <v>69</v>
      </c>
      <c r="AG6" s="12"/>
      <c r="AH6" s="31"/>
      <c r="AI6" s="30" t="s">
        <v>69</v>
      </c>
      <c r="AJ6" s="12"/>
      <c r="AK6" s="31"/>
    </row>
    <row r="7" spans="1:37" ht="21" customHeight="1">
      <c r="A7" s="11">
        <v>3</v>
      </c>
      <c r="B7" s="32" t="s">
        <v>219</v>
      </c>
      <c r="C7" s="14"/>
      <c r="D7" s="33"/>
      <c r="E7" s="32"/>
      <c r="F7" s="15"/>
      <c r="G7" s="41"/>
      <c r="H7" s="32"/>
      <c r="I7" s="14"/>
      <c r="J7" s="33"/>
      <c r="K7" s="32"/>
      <c r="L7" s="15"/>
      <c r="M7" s="41"/>
      <c r="N7" s="36"/>
      <c r="O7" s="16"/>
      <c r="P7" s="37"/>
      <c r="Q7" s="36"/>
      <c r="R7" s="16"/>
      <c r="S7" s="37"/>
      <c r="T7" s="36"/>
      <c r="U7" s="16"/>
      <c r="V7" s="37"/>
      <c r="W7" s="36"/>
      <c r="X7" s="16"/>
      <c r="Y7" s="37"/>
      <c r="Z7" s="36"/>
      <c r="AA7" s="16"/>
      <c r="AB7" s="37"/>
      <c r="AC7" s="36"/>
      <c r="AD7" s="16"/>
      <c r="AE7" s="23"/>
      <c r="AF7" s="36"/>
      <c r="AG7" s="16"/>
      <c r="AH7" s="37"/>
      <c r="AI7" s="36"/>
      <c r="AJ7" s="16"/>
      <c r="AK7" s="37"/>
    </row>
    <row r="8" spans="1:37" ht="21" customHeight="1">
      <c r="A8" s="11">
        <v>4</v>
      </c>
      <c r="B8" s="32"/>
      <c r="C8" s="14"/>
      <c r="D8" s="33"/>
      <c r="E8" s="32"/>
      <c r="F8" s="15"/>
      <c r="G8" s="41"/>
      <c r="H8" s="32"/>
      <c r="I8" s="14"/>
      <c r="J8" s="33"/>
      <c r="K8" s="32"/>
      <c r="L8" s="15"/>
      <c r="M8" s="41"/>
      <c r="N8" s="36"/>
      <c r="O8" s="16"/>
      <c r="P8" s="37"/>
      <c r="Q8" s="36"/>
      <c r="R8" s="16"/>
      <c r="S8" s="37"/>
      <c r="T8" s="36"/>
      <c r="U8" s="16"/>
      <c r="V8" s="37"/>
      <c r="W8" s="36"/>
      <c r="X8" s="16"/>
      <c r="Y8" s="37"/>
      <c r="Z8" s="36"/>
      <c r="AA8" s="16"/>
      <c r="AB8" s="37"/>
      <c r="AC8" s="36"/>
      <c r="AD8" s="16"/>
      <c r="AE8" s="23"/>
      <c r="AF8" s="36"/>
      <c r="AG8" s="16"/>
      <c r="AH8" s="37"/>
      <c r="AI8" s="36"/>
      <c r="AJ8" s="16"/>
      <c r="AK8" s="37"/>
    </row>
    <row r="9" spans="1:37" ht="21" customHeight="1">
      <c r="A9" s="11">
        <v>5</v>
      </c>
      <c r="B9" s="32"/>
      <c r="C9" s="14"/>
      <c r="D9" s="33"/>
      <c r="E9" s="32"/>
      <c r="F9" s="15"/>
      <c r="G9" s="41"/>
      <c r="H9" s="32"/>
      <c r="I9" s="14"/>
      <c r="J9" s="33"/>
      <c r="K9" s="32"/>
      <c r="L9" s="15"/>
      <c r="M9" s="41"/>
      <c r="N9" s="36"/>
      <c r="O9" s="16"/>
      <c r="P9" s="37"/>
      <c r="Q9" s="36"/>
      <c r="R9" s="16"/>
      <c r="S9" s="37"/>
      <c r="T9" s="36"/>
      <c r="U9" s="16"/>
      <c r="V9" s="37"/>
      <c r="W9" s="36"/>
      <c r="X9" s="16"/>
      <c r="Y9" s="37"/>
      <c r="Z9" s="36"/>
      <c r="AA9" s="16"/>
      <c r="AB9" s="37"/>
      <c r="AC9" s="36"/>
      <c r="AD9" s="16"/>
      <c r="AE9" s="23"/>
      <c r="AF9" s="36"/>
      <c r="AG9" s="16"/>
      <c r="AH9" s="37"/>
      <c r="AI9" s="36"/>
      <c r="AJ9" s="16"/>
      <c r="AK9" s="37"/>
    </row>
    <row r="10" spans="1:37" ht="21" customHeight="1">
      <c r="A10" s="11">
        <v>6</v>
      </c>
      <c r="B10" s="32"/>
      <c r="C10" s="14"/>
      <c r="D10" s="33"/>
      <c r="E10" s="32"/>
      <c r="F10" s="15"/>
      <c r="G10" s="41"/>
      <c r="H10" s="32"/>
      <c r="I10" s="14"/>
      <c r="J10" s="33"/>
      <c r="K10" s="32"/>
      <c r="L10" s="15"/>
      <c r="M10" s="41"/>
      <c r="N10" s="36"/>
      <c r="O10" s="16"/>
      <c r="P10" s="37"/>
      <c r="Q10" s="36"/>
      <c r="R10" s="16"/>
      <c r="S10" s="37"/>
      <c r="T10" s="36"/>
      <c r="U10" s="16"/>
      <c r="V10" s="37"/>
      <c r="W10" s="36"/>
      <c r="X10" s="16"/>
      <c r="Y10" s="37"/>
      <c r="Z10" s="36"/>
      <c r="AA10" s="16"/>
      <c r="AB10" s="37"/>
      <c r="AC10" s="36"/>
      <c r="AD10" s="16"/>
      <c r="AE10" s="23"/>
      <c r="AF10" s="36"/>
      <c r="AG10" s="16"/>
      <c r="AH10" s="37"/>
      <c r="AI10" s="36"/>
      <c r="AJ10" s="16"/>
      <c r="AK10" s="37"/>
    </row>
    <row r="11" spans="1:37" ht="21" customHeight="1">
      <c r="A11" s="11">
        <v>7</v>
      </c>
      <c r="B11" s="32"/>
      <c r="C11" s="14"/>
      <c r="D11" s="33"/>
      <c r="E11" s="32"/>
      <c r="F11" s="15"/>
      <c r="G11" s="41"/>
      <c r="H11" s="32"/>
      <c r="I11" s="14"/>
      <c r="J11" s="33"/>
      <c r="K11" s="32"/>
      <c r="L11" s="15"/>
      <c r="M11" s="41"/>
      <c r="N11" s="36"/>
      <c r="O11" s="16"/>
      <c r="P11" s="37"/>
      <c r="Q11" s="36"/>
      <c r="R11" s="16"/>
      <c r="S11" s="37"/>
      <c r="T11" s="36"/>
      <c r="U11" s="16"/>
      <c r="V11" s="37"/>
      <c r="W11" s="36"/>
      <c r="X11" s="16"/>
      <c r="Y11" s="37"/>
      <c r="Z11" s="36"/>
      <c r="AA11" s="16"/>
      <c r="AB11" s="37"/>
      <c r="AC11" s="36"/>
      <c r="AD11" s="16"/>
      <c r="AE11" s="23"/>
      <c r="AF11" s="36"/>
      <c r="AG11" s="16"/>
      <c r="AH11" s="37"/>
      <c r="AI11" s="36"/>
      <c r="AJ11" s="16"/>
      <c r="AK11" s="37"/>
    </row>
    <row r="12" spans="1:37" ht="21" customHeight="1">
      <c r="A12" s="11">
        <v>8</v>
      </c>
      <c r="B12" s="32"/>
      <c r="C12" s="14"/>
      <c r="D12" s="33"/>
      <c r="E12" s="32"/>
      <c r="F12" s="14"/>
      <c r="G12" s="33"/>
      <c r="H12" s="32"/>
      <c r="I12" s="14"/>
      <c r="J12" s="33"/>
      <c r="K12" s="32"/>
      <c r="L12" s="14"/>
      <c r="M12" s="33"/>
      <c r="N12" s="36"/>
      <c r="O12" s="16"/>
      <c r="P12" s="37"/>
      <c r="Q12" s="36"/>
      <c r="R12" s="16"/>
      <c r="S12" s="37"/>
      <c r="T12" s="36"/>
      <c r="U12" s="16"/>
      <c r="V12" s="37"/>
      <c r="W12" s="36"/>
      <c r="X12" s="16"/>
      <c r="Y12" s="37"/>
      <c r="Z12" s="36"/>
      <c r="AA12" s="16"/>
      <c r="AB12" s="37"/>
      <c r="AC12" s="36"/>
      <c r="AD12" s="16"/>
      <c r="AE12" s="23"/>
      <c r="AF12" s="36"/>
      <c r="AG12" s="16"/>
      <c r="AH12" s="37"/>
      <c r="AI12" s="36"/>
      <c r="AJ12" s="16"/>
      <c r="AK12" s="37"/>
    </row>
    <row r="13" spans="1:37" ht="21" customHeight="1">
      <c r="A13" s="11">
        <v>9</v>
      </c>
      <c r="B13" s="32"/>
      <c r="C13" s="14"/>
      <c r="D13" s="33"/>
      <c r="E13" s="32"/>
      <c r="F13" s="14"/>
      <c r="G13" s="33"/>
      <c r="H13" s="32"/>
      <c r="I13" s="14"/>
      <c r="J13" s="33"/>
      <c r="K13" s="32"/>
      <c r="L13" s="14"/>
      <c r="M13" s="33"/>
      <c r="N13" s="36"/>
      <c r="O13" s="16"/>
      <c r="P13" s="37"/>
      <c r="Q13" s="36"/>
      <c r="R13" s="16"/>
      <c r="S13" s="37"/>
      <c r="T13" s="36"/>
      <c r="U13" s="16"/>
      <c r="V13" s="37"/>
      <c r="W13" s="36"/>
      <c r="X13" s="16"/>
      <c r="Y13" s="37"/>
      <c r="Z13" s="36"/>
      <c r="AA13" s="16"/>
      <c r="AB13" s="37"/>
      <c r="AC13" s="36"/>
      <c r="AD13" s="16"/>
      <c r="AE13" s="23"/>
      <c r="AF13" s="36"/>
      <c r="AG13" s="16"/>
      <c r="AH13" s="37"/>
      <c r="AI13" s="36"/>
      <c r="AJ13" s="16"/>
      <c r="AK13" s="37"/>
    </row>
    <row r="14" spans="1:37" ht="21" customHeight="1">
      <c r="A14" s="11">
        <v>10</v>
      </c>
      <c r="B14" s="32"/>
      <c r="C14" s="14"/>
      <c r="D14" s="33"/>
      <c r="E14" s="32"/>
      <c r="F14" s="15"/>
      <c r="G14" s="41"/>
      <c r="H14" s="32"/>
      <c r="I14" s="14"/>
      <c r="J14" s="33"/>
      <c r="K14" s="32"/>
      <c r="L14" s="15"/>
      <c r="M14" s="41"/>
      <c r="N14" s="36"/>
      <c r="O14" s="16"/>
      <c r="P14" s="37"/>
      <c r="Q14" s="36"/>
      <c r="R14" s="16"/>
      <c r="S14" s="37"/>
      <c r="T14" s="36"/>
      <c r="U14" s="16"/>
      <c r="V14" s="37"/>
      <c r="W14" s="36"/>
      <c r="X14" s="16"/>
      <c r="Y14" s="37"/>
      <c r="Z14" s="36"/>
      <c r="AA14" s="16"/>
      <c r="AB14" s="37"/>
      <c r="AC14" s="36"/>
      <c r="AD14" s="16"/>
      <c r="AE14" s="23"/>
      <c r="AF14" s="36"/>
      <c r="AG14" s="16"/>
      <c r="AH14" s="37"/>
      <c r="AI14" s="36"/>
      <c r="AJ14" s="16"/>
      <c r="AK14" s="37"/>
    </row>
    <row r="15" spans="1:37" ht="21" customHeight="1">
      <c r="A15" s="11">
        <v>11</v>
      </c>
      <c r="B15" s="32"/>
      <c r="C15" s="14"/>
      <c r="D15" s="33"/>
      <c r="E15" s="32"/>
      <c r="F15" s="15"/>
      <c r="G15" s="41"/>
      <c r="H15" s="32"/>
      <c r="I15" s="14"/>
      <c r="J15" s="33"/>
      <c r="K15" s="32"/>
      <c r="L15" s="15"/>
      <c r="M15" s="41"/>
      <c r="N15" s="34"/>
      <c r="O15" s="16"/>
      <c r="P15" s="37"/>
      <c r="Q15" s="36"/>
      <c r="R15" s="16"/>
      <c r="S15" s="37"/>
      <c r="T15" s="36"/>
      <c r="U15" s="16"/>
      <c r="V15" s="37"/>
      <c r="W15" s="36"/>
      <c r="X15" s="16"/>
      <c r="Y15" s="37"/>
      <c r="Z15" s="36"/>
      <c r="AA15" s="16"/>
      <c r="AB15" s="37"/>
      <c r="AC15" s="36"/>
      <c r="AD15" s="16"/>
      <c r="AE15" s="23"/>
      <c r="AF15" s="36"/>
      <c r="AG15" s="16"/>
      <c r="AH15" s="37"/>
      <c r="AI15" s="36"/>
      <c r="AJ15" s="16"/>
      <c r="AK15" s="37"/>
    </row>
    <row r="16" spans="1:37" ht="21" customHeight="1">
      <c r="A16" s="11">
        <v>12</v>
      </c>
      <c r="B16" s="32"/>
      <c r="C16" s="14"/>
      <c r="D16" s="33"/>
      <c r="E16" s="32"/>
      <c r="F16" s="15"/>
      <c r="G16" s="41"/>
      <c r="H16" s="32"/>
      <c r="I16" s="14"/>
      <c r="J16" s="33"/>
      <c r="K16" s="32"/>
      <c r="L16" s="15"/>
      <c r="M16" s="41"/>
      <c r="N16" s="36"/>
      <c r="O16" s="16"/>
      <c r="P16" s="37"/>
      <c r="Q16" s="36"/>
      <c r="R16" s="16"/>
      <c r="S16" s="37"/>
      <c r="T16" s="36"/>
      <c r="U16" s="16"/>
      <c r="V16" s="37"/>
      <c r="W16" s="36"/>
      <c r="X16" s="16"/>
      <c r="Y16" s="37"/>
      <c r="Z16" s="36"/>
      <c r="AA16" s="16"/>
      <c r="AB16" s="37"/>
      <c r="AC16" s="36"/>
      <c r="AD16" s="16"/>
      <c r="AE16" s="23"/>
      <c r="AF16" s="36"/>
      <c r="AG16" s="16"/>
      <c r="AH16" s="37"/>
      <c r="AI16" s="36"/>
      <c r="AJ16" s="16"/>
      <c r="AK16" s="37"/>
    </row>
    <row r="17" spans="1:37" ht="21" customHeight="1">
      <c r="A17" s="11">
        <v>13</v>
      </c>
      <c r="B17" s="32"/>
      <c r="C17" s="14"/>
      <c r="D17" s="33"/>
      <c r="E17" s="32"/>
      <c r="F17" s="15"/>
      <c r="G17" s="41"/>
      <c r="H17" s="32"/>
      <c r="I17" s="14"/>
      <c r="J17" s="33"/>
      <c r="K17" s="32"/>
      <c r="L17" s="15"/>
      <c r="M17" s="41"/>
      <c r="N17" s="36"/>
      <c r="O17" s="16"/>
      <c r="P17" s="37"/>
      <c r="Q17" s="36"/>
      <c r="R17" s="16"/>
      <c r="S17" s="37"/>
      <c r="T17" s="36"/>
      <c r="U17" s="16"/>
      <c r="V17" s="37"/>
      <c r="W17" s="36"/>
      <c r="X17" s="16"/>
      <c r="Y17" s="37"/>
      <c r="Z17" s="36"/>
      <c r="AA17" s="16"/>
      <c r="AB17" s="37"/>
      <c r="AC17" s="36"/>
      <c r="AD17" s="16"/>
      <c r="AE17" s="23"/>
      <c r="AF17" s="36"/>
      <c r="AG17" s="16"/>
      <c r="AH17" s="37"/>
      <c r="AI17" s="36"/>
      <c r="AJ17" s="16"/>
      <c r="AK17" s="37"/>
    </row>
    <row r="18" spans="1:37" ht="21" customHeight="1">
      <c r="A18" s="11">
        <v>14</v>
      </c>
      <c r="B18" s="32"/>
      <c r="C18" s="14"/>
      <c r="D18" s="33"/>
      <c r="E18" s="32"/>
      <c r="F18" s="15"/>
      <c r="G18" s="41"/>
      <c r="H18" s="32"/>
      <c r="I18" s="14"/>
      <c r="J18" s="33"/>
      <c r="K18" s="32"/>
      <c r="L18" s="15"/>
      <c r="M18" s="41"/>
      <c r="N18" s="36"/>
      <c r="O18" s="16"/>
      <c r="P18" s="37"/>
      <c r="Q18" s="36"/>
      <c r="R18" s="16"/>
      <c r="S18" s="37"/>
      <c r="T18" s="36"/>
      <c r="U18" s="16"/>
      <c r="V18" s="37"/>
      <c r="W18" s="36"/>
      <c r="X18" s="16"/>
      <c r="Y18" s="37"/>
      <c r="Z18" s="36"/>
      <c r="AA18" s="16"/>
      <c r="AB18" s="37"/>
      <c r="AC18" s="36"/>
      <c r="AD18" s="16"/>
      <c r="AE18" s="23"/>
      <c r="AF18" s="36"/>
      <c r="AG18" s="16"/>
      <c r="AH18" s="37"/>
      <c r="AI18" s="36"/>
      <c r="AJ18" s="16"/>
      <c r="AK18" s="37"/>
    </row>
    <row r="19" spans="1:37" ht="21" customHeight="1">
      <c r="A19" s="11">
        <v>15</v>
      </c>
      <c r="B19" s="32"/>
      <c r="C19" s="14"/>
      <c r="D19" s="33"/>
      <c r="E19" s="32"/>
      <c r="F19" s="15"/>
      <c r="G19" s="41"/>
      <c r="H19" s="32"/>
      <c r="I19" s="14"/>
      <c r="J19" s="33"/>
      <c r="K19" s="32"/>
      <c r="L19" s="15"/>
      <c r="M19" s="41"/>
      <c r="N19" s="36"/>
      <c r="O19" s="16"/>
      <c r="P19" s="37"/>
      <c r="Q19" s="36"/>
      <c r="R19" s="16"/>
      <c r="S19" s="37"/>
      <c r="T19" s="36"/>
      <c r="U19" s="16"/>
      <c r="V19" s="37"/>
      <c r="W19" s="36"/>
      <c r="X19" s="16"/>
      <c r="Y19" s="37"/>
      <c r="Z19" s="36"/>
      <c r="AA19" s="16"/>
      <c r="AB19" s="37"/>
      <c r="AC19" s="36"/>
      <c r="AD19" s="16"/>
      <c r="AE19" s="23"/>
      <c r="AF19" s="36"/>
      <c r="AG19" s="16"/>
      <c r="AH19" s="37"/>
      <c r="AI19" s="36"/>
      <c r="AJ19" s="16"/>
      <c r="AK19" s="37"/>
    </row>
    <row r="20" spans="1:37" ht="21" customHeight="1">
      <c r="A20" s="11">
        <v>16</v>
      </c>
      <c r="B20" s="32"/>
      <c r="C20" s="14"/>
      <c r="D20" s="33"/>
      <c r="E20" s="32"/>
      <c r="F20" s="15"/>
      <c r="G20" s="41"/>
      <c r="H20" s="32"/>
      <c r="I20" s="14"/>
      <c r="J20" s="33"/>
      <c r="K20" s="32"/>
      <c r="L20" s="15"/>
      <c r="M20" s="41"/>
      <c r="N20" s="36"/>
      <c r="O20" s="16"/>
      <c r="P20" s="37"/>
      <c r="Q20" s="36"/>
      <c r="R20" s="16"/>
      <c r="S20" s="37"/>
      <c r="T20" s="36"/>
      <c r="U20" s="16"/>
      <c r="V20" s="37"/>
      <c r="W20" s="36"/>
      <c r="X20" s="16"/>
      <c r="Y20" s="37"/>
      <c r="Z20" s="36"/>
      <c r="AA20" s="16"/>
      <c r="AB20" s="37"/>
      <c r="AC20" s="36"/>
      <c r="AD20" s="16"/>
      <c r="AE20" s="23"/>
      <c r="AF20" s="36"/>
      <c r="AG20" s="16"/>
      <c r="AH20" s="37"/>
      <c r="AI20" s="36"/>
      <c r="AJ20" s="16"/>
      <c r="AK20" s="37"/>
    </row>
    <row r="21" spans="1:37" ht="21" customHeight="1">
      <c r="A21" s="11">
        <v>17</v>
      </c>
      <c r="B21" s="32"/>
      <c r="C21" s="14"/>
      <c r="D21" s="33"/>
      <c r="E21" s="32"/>
      <c r="F21" s="15"/>
      <c r="G21" s="41"/>
      <c r="H21" s="32"/>
      <c r="I21" s="14"/>
      <c r="J21" s="33"/>
      <c r="K21" s="32"/>
      <c r="L21" s="15"/>
      <c r="M21" s="41"/>
      <c r="N21" s="36"/>
      <c r="O21" s="16"/>
      <c r="P21" s="37"/>
      <c r="Q21" s="36"/>
      <c r="R21" s="16"/>
      <c r="S21" s="37"/>
      <c r="T21" s="36"/>
      <c r="U21" s="16"/>
      <c r="V21" s="37"/>
      <c r="W21" s="36"/>
      <c r="X21" s="16"/>
      <c r="Y21" s="37"/>
      <c r="Z21" s="36"/>
      <c r="AA21" s="16"/>
      <c r="AB21" s="37"/>
      <c r="AC21" s="36"/>
      <c r="AD21" s="16"/>
      <c r="AE21" s="23"/>
      <c r="AF21" s="36"/>
      <c r="AG21" s="16"/>
      <c r="AH21" s="37"/>
      <c r="AI21" s="36"/>
      <c r="AJ21" s="16"/>
      <c r="AK21" s="37"/>
    </row>
    <row r="22" spans="1:37" ht="21" customHeight="1">
      <c r="A22" s="11">
        <v>18</v>
      </c>
      <c r="B22" s="32"/>
      <c r="C22" s="14"/>
      <c r="D22" s="33"/>
      <c r="E22" s="32"/>
      <c r="F22" s="15"/>
      <c r="G22" s="41"/>
      <c r="H22" s="32"/>
      <c r="I22" s="14"/>
      <c r="J22" s="33"/>
      <c r="K22" s="32"/>
      <c r="L22" s="15"/>
      <c r="M22" s="41"/>
      <c r="N22" s="36"/>
      <c r="O22" s="16"/>
      <c r="P22" s="37"/>
      <c r="Q22" s="36"/>
      <c r="R22" s="16"/>
      <c r="S22" s="37"/>
      <c r="T22" s="36"/>
      <c r="U22" s="16"/>
      <c r="V22" s="37"/>
      <c r="W22" s="36"/>
      <c r="X22" s="16"/>
      <c r="Y22" s="37"/>
      <c r="Z22" s="36"/>
      <c r="AA22" s="16"/>
      <c r="AB22" s="37"/>
      <c r="AC22" s="36"/>
      <c r="AD22" s="16"/>
      <c r="AE22" s="23"/>
      <c r="AF22" s="36"/>
      <c r="AG22" s="16"/>
      <c r="AH22" s="37"/>
      <c r="AI22" s="36"/>
      <c r="AJ22" s="16"/>
      <c r="AK22" s="37"/>
    </row>
    <row r="23" spans="1:37" ht="21" customHeight="1">
      <c r="A23" s="11">
        <v>19</v>
      </c>
      <c r="B23" s="32"/>
      <c r="C23" s="14"/>
      <c r="D23" s="33"/>
      <c r="E23" s="32"/>
      <c r="F23" s="15"/>
      <c r="G23" s="41"/>
      <c r="H23" s="32"/>
      <c r="I23" s="14"/>
      <c r="J23" s="33"/>
      <c r="K23" s="32"/>
      <c r="L23" s="15"/>
      <c r="M23" s="41"/>
      <c r="N23" s="36"/>
      <c r="O23" s="16"/>
      <c r="P23" s="37"/>
      <c r="Q23" s="36"/>
      <c r="R23" s="16"/>
      <c r="S23" s="37"/>
      <c r="T23" s="36"/>
      <c r="U23" s="16"/>
      <c r="V23" s="37"/>
      <c r="W23" s="36"/>
      <c r="X23" s="16"/>
      <c r="Y23" s="37"/>
      <c r="Z23" s="36"/>
      <c r="AA23" s="16"/>
      <c r="AB23" s="37"/>
      <c r="AC23" s="36"/>
      <c r="AD23" s="16"/>
      <c r="AE23" s="23"/>
      <c r="AF23" s="36"/>
      <c r="AG23" s="16"/>
      <c r="AH23" s="37"/>
      <c r="AI23" s="36"/>
      <c r="AJ23" s="16"/>
      <c r="AK23" s="37"/>
    </row>
    <row r="24" spans="1:37" ht="21" customHeight="1">
      <c r="A24" s="11">
        <v>20</v>
      </c>
      <c r="B24" s="32"/>
      <c r="C24" s="14"/>
      <c r="D24" s="33"/>
      <c r="E24" s="32"/>
      <c r="F24" s="15"/>
      <c r="G24" s="41"/>
      <c r="H24" s="32"/>
      <c r="I24" s="14"/>
      <c r="J24" s="33"/>
      <c r="K24" s="32"/>
      <c r="L24" s="15"/>
      <c r="M24" s="41"/>
      <c r="N24" s="36"/>
      <c r="O24" s="16"/>
      <c r="P24" s="37"/>
      <c r="Q24" s="36"/>
      <c r="R24" s="16"/>
      <c r="S24" s="37"/>
      <c r="T24" s="36"/>
      <c r="U24" s="16"/>
      <c r="V24" s="37"/>
      <c r="W24" s="36"/>
      <c r="X24" s="16"/>
      <c r="Y24" s="37"/>
      <c r="Z24" s="36"/>
      <c r="AA24" s="16"/>
      <c r="AB24" s="37"/>
      <c r="AC24" s="36"/>
      <c r="AD24" s="16"/>
      <c r="AE24" s="23"/>
      <c r="AF24" s="36"/>
      <c r="AG24" s="16"/>
      <c r="AH24" s="37"/>
      <c r="AI24" s="36"/>
      <c r="AJ24" s="16"/>
      <c r="AK24" s="37"/>
    </row>
    <row r="25" spans="1:37" ht="21" customHeight="1">
      <c r="A25" s="11">
        <v>21</v>
      </c>
      <c r="B25" s="32"/>
      <c r="C25" s="14"/>
      <c r="D25" s="33"/>
      <c r="E25" s="32"/>
      <c r="F25" s="15"/>
      <c r="G25" s="41"/>
      <c r="H25" s="32"/>
      <c r="I25" s="14"/>
      <c r="J25" s="33"/>
      <c r="K25" s="32"/>
      <c r="L25" s="15"/>
      <c r="M25" s="41"/>
      <c r="N25" s="36"/>
      <c r="O25" s="16"/>
      <c r="P25" s="37"/>
      <c r="Q25" s="36"/>
      <c r="R25" s="16"/>
      <c r="S25" s="37"/>
      <c r="T25" s="36"/>
      <c r="U25" s="16"/>
      <c r="V25" s="37"/>
      <c r="W25" s="36"/>
      <c r="X25" s="16"/>
      <c r="Y25" s="37"/>
      <c r="Z25" s="36"/>
      <c r="AA25" s="16"/>
      <c r="AB25" s="37"/>
      <c r="AC25" s="36"/>
      <c r="AD25" s="16"/>
      <c r="AE25" s="23"/>
      <c r="AF25" s="36"/>
      <c r="AG25" s="16"/>
      <c r="AH25" s="37"/>
      <c r="AI25" s="36"/>
      <c r="AJ25" s="16"/>
      <c r="AK25" s="37"/>
    </row>
    <row r="26" spans="1:37" ht="21" customHeight="1">
      <c r="A26" s="11">
        <v>22</v>
      </c>
      <c r="B26" s="32"/>
      <c r="C26" s="14"/>
      <c r="D26" s="33"/>
      <c r="E26" s="32"/>
      <c r="F26" s="15"/>
      <c r="G26" s="41"/>
      <c r="H26" s="32"/>
      <c r="I26" s="14"/>
      <c r="J26" s="33"/>
      <c r="K26" s="32"/>
      <c r="L26" s="15"/>
      <c r="M26" s="41"/>
      <c r="N26" s="36"/>
      <c r="O26" s="16"/>
      <c r="P26" s="37"/>
      <c r="Q26" s="36"/>
      <c r="R26" s="16"/>
      <c r="S26" s="37"/>
      <c r="T26" s="36"/>
      <c r="U26" s="16"/>
      <c r="V26" s="37"/>
      <c r="W26" s="36"/>
      <c r="X26" s="16"/>
      <c r="Y26" s="37"/>
      <c r="Z26" s="36"/>
      <c r="AA26" s="16"/>
      <c r="AB26" s="37"/>
      <c r="AC26" s="36"/>
      <c r="AD26" s="16"/>
      <c r="AE26" s="23"/>
      <c r="AF26" s="36"/>
      <c r="AG26" s="16"/>
      <c r="AH26" s="37"/>
      <c r="AI26" s="36"/>
      <c r="AJ26" s="16"/>
      <c r="AK26" s="37"/>
    </row>
    <row r="27" spans="1:37" ht="21" customHeight="1">
      <c r="A27" s="11">
        <v>23</v>
      </c>
      <c r="B27" s="32"/>
      <c r="C27" s="14"/>
      <c r="D27" s="33"/>
      <c r="E27" s="32"/>
      <c r="F27" s="15"/>
      <c r="G27" s="41"/>
      <c r="H27" s="32"/>
      <c r="I27" s="14"/>
      <c r="J27" s="33"/>
      <c r="K27" s="32"/>
      <c r="L27" s="15"/>
      <c r="M27" s="41"/>
      <c r="N27" s="36"/>
      <c r="O27" s="16"/>
      <c r="P27" s="37"/>
      <c r="Q27" s="36"/>
      <c r="R27" s="16"/>
      <c r="S27" s="37"/>
      <c r="T27" s="36"/>
      <c r="U27" s="16"/>
      <c r="V27" s="37"/>
      <c r="W27" s="36"/>
      <c r="X27" s="16"/>
      <c r="Y27" s="37"/>
      <c r="Z27" s="36"/>
      <c r="AA27" s="16"/>
      <c r="AB27" s="37"/>
      <c r="AC27" s="36"/>
      <c r="AD27" s="16"/>
      <c r="AE27" s="23"/>
      <c r="AF27" s="36"/>
      <c r="AG27" s="16"/>
      <c r="AH27" s="37"/>
      <c r="AI27" s="36"/>
      <c r="AJ27" s="16"/>
      <c r="AK27" s="37"/>
    </row>
    <row r="28" spans="1:37" ht="21" customHeight="1">
      <c r="A28" s="11">
        <v>24</v>
      </c>
      <c r="B28" s="32"/>
      <c r="C28" s="14"/>
      <c r="D28" s="33"/>
      <c r="E28" s="32"/>
      <c r="F28" s="15"/>
      <c r="G28" s="41"/>
      <c r="H28" s="32"/>
      <c r="I28" s="14"/>
      <c r="J28" s="33"/>
      <c r="K28" s="32"/>
      <c r="L28" s="15"/>
      <c r="M28" s="41"/>
      <c r="N28" s="36"/>
      <c r="O28" s="16"/>
      <c r="P28" s="37"/>
      <c r="Q28" s="36"/>
      <c r="R28" s="16"/>
      <c r="S28" s="37"/>
      <c r="T28" s="36"/>
      <c r="U28" s="16"/>
      <c r="V28" s="37"/>
      <c r="W28" s="36"/>
      <c r="X28" s="16"/>
      <c r="Y28" s="37"/>
      <c r="Z28" s="36"/>
      <c r="AA28" s="16"/>
      <c r="AB28" s="37"/>
      <c r="AC28" s="36"/>
      <c r="AD28" s="16"/>
      <c r="AE28" s="23"/>
      <c r="AF28" s="36"/>
      <c r="AG28" s="16"/>
      <c r="AH28" s="37"/>
      <c r="AI28" s="36"/>
      <c r="AJ28" s="16"/>
      <c r="AK28" s="37"/>
    </row>
    <row r="29" spans="1:37" ht="21" customHeight="1">
      <c r="A29" s="11">
        <v>25</v>
      </c>
      <c r="B29" s="32"/>
      <c r="C29" s="14"/>
      <c r="D29" s="33"/>
      <c r="E29" s="32"/>
      <c r="F29" s="15"/>
      <c r="G29" s="41"/>
      <c r="H29" s="32"/>
      <c r="I29" s="14"/>
      <c r="J29" s="33"/>
      <c r="K29" s="32"/>
      <c r="L29" s="15"/>
      <c r="M29" s="41"/>
      <c r="N29" s="36"/>
      <c r="O29" s="16"/>
      <c r="P29" s="37"/>
      <c r="Q29" s="36"/>
      <c r="R29" s="16"/>
      <c r="S29" s="37"/>
      <c r="T29" s="36"/>
      <c r="U29" s="16"/>
      <c r="V29" s="37"/>
      <c r="W29" s="36"/>
      <c r="X29" s="16"/>
      <c r="Y29" s="37"/>
      <c r="Z29" s="36"/>
      <c r="AA29" s="16"/>
      <c r="AB29" s="37"/>
      <c r="AC29" s="36"/>
      <c r="AD29" s="16"/>
      <c r="AE29" s="23"/>
      <c r="AF29" s="36"/>
      <c r="AG29" s="16"/>
      <c r="AH29" s="37"/>
      <c r="AI29" s="36"/>
      <c r="AJ29" s="16"/>
      <c r="AK29" s="37"/>
    </row>
    <row r="30" spans="1:37" ht="21" customHeight="1">
      <c r="A30" s="11">
        <v>26</v>
      </c>
      <c r="B30" s="32"/>
      <c r="C30" s="14"/>
      <c r="D30" s="33"/>
      <c r="E30" s="32"/>
      <c r="F30" s="15"/>
      <c r="G30" s="41"/>
      <c r="H30" s="32"/>
      <c r="I30" s="14"/>
      <c r="J30" s="33"/>
      <c r="K30" s="32"/>
      <c r="L30" s="15"/>
      <c r="M30" s="41"/>
      <c r="N30" s="36"/>
      <c r="O30" s="16"/>
      <c r="P30" s="37"/>
      <c r="Q30" s="36"/>
      <c r="R30" s="16"/>
      <c r="S30" s="37"/>
      <c r="T30" s="36"/>
      <c r="U30" s="16"/>
      <c r="V30" s="37"/>
      <c r="W30" s="36"/>
      <c r="X30" s="16"/>
      <c r="Y30" s="37"/>
      <c r="Z30" s="36"/>
      <c r="AA30" s="16"/>
      <c r="AB30" s="37"/>
      <c r="AC30" s="36"/>
      <c r="AD30" s="16"/>
      <c r="AE30" s="23"/>
      <c r="AF30" s="36"/>
      <c r="AG30" s="16"/>
      <c r="AH30" s="37"/>
      <c r="AI30" s="36"/>
      <c r="AJ30" s="16"/>
      <c r="AK30" s="37"/>
    </row>
    <row r="31" spans="1:37" ht="21" customHeight="1">
      <c r="A31" s="11">
        <v>27</v>
      </c>
      <c r="B31" s="32"/>
      <c r="C31" s="14"/>
      <c r="D31" s="33"/>
      <c r="E31" s="36"/>
      <c r="F31" s="16"/>
      <c r="G31" s="37"/>
      <c r="H31" s="32"/>
      <c r="I31" s="14"/>
      <c r="J31" s="33"/>
      <c r="K31" s="36"/>
      <c r="L31" s="16"/>
      <c r="M31" s="37"/>
      <c r="N31" s="36"/>
      <c r="O31" s="16"/>
      <c r="P31" s="37"/>
      <c r="Q31" s="36"/>
      <c r="R31" s="16"/>
      <c r="S31" s="37"/>
      <c r="T31" s="36"/>
      <c r="U31" s="16"/>
      <c r="V31" s="37"/>
      <c r="W31" s="36"/>
      <c r="X31" s="16"/>
      <c r="Y31" s="37"/>
      <c r="Z31" s="36"/>
      <c r="AA31" s="16"/>
      <c r="AB31" s="37"/>
      <c r="AC31" s="36"/>
      <c r="AD31" s="16"/>
      <c r="AE31" s="23"/>
      <c r="AF31" s="36"/>
      <c r="AG31" s="16"/>
      <c r="AH31" s="37"/>
      <c r="AI31" s="36"/>
      <c r="AJ31" s="16"/>
      <c r="AK31" s="37"/>
    </row>
    <row r="32" spans="1:37" ht="21" customHeight="1">
      <c r="A32" s="11">
        <v>28</v>
      </c>
      <c r="B32" s="34"/>
      <c r="C32" s="17"/>
      <c r="D32" s="35"/>
      <c r="E32" s="36"/>
      <c r="F32" s="16"/>
      <c r="G32" s="37"/>
      <c r="H32" s="34"/>
      <c r="I32" s="17"/>
      <c r="J32" s="35"/>
      <c r="K32" s="36"/>
      <c r="L32" s="16"/>
      <c r="M32" s="37"/>
      <c r="N32" s="36"/>
      <c r="O32" s="16"/>
      <c r="P32" s="37"/>
      <c r="Q32" s="36"/>
      <c r="R32" s="16"/>
      <c r="S32" s="37"/>
      <c r="T32" s="36"/>
      <c r="U32" s="16"/>
      <c r="V32" s="37"/>
      <c r="W32" s="36"/>
      <c r="X32" s="16"/>
      <c r="Y32" s="37"/>
      <c r="Z32" s="36"/>
      <c r="AA32" s="16"/>
      <c r="AB32" s="37"/>
      <c r="AC32" s="36"/>
      <c r="AD32" s="16"/>
      <c r="AE32" s="23"/>
      <c r="AF32" s="36"/>
      <c r="AG32" s="16"/>
      <c r="AH32" s="37"/>
      <c r="AI32" s="36"/>
      <c r="AJ32" s="16"/>
      <c r="AK32" s="37"/>
    </row>
    <row r="33" spans="1:37" ht="21" customHeight="1">
      <c r="A33" s="11">
        <v>29</v>
      </c>
      <c r="B33" s="34"/>
      <c r="C33" s="16"/>
      <c r="D33" s="37"/>
      <c r="E33" s="36"/>
      <c r="F33" s="16"/>
      <c r="G33" s="37"/>
      <c r="H33" s="36"/>
      <c r="I33" s="16"/>
      <c r="J33" s="37"/>
      <c r="K33" s="36"/>
      <c r="L33" s="16"/>
      <c r="M33" s="37"/>
      <c r="N33" s="36"/>
      <c r="O33" s="16"/>
      <c r="P33" s="37"/>
      <c r="Q33" s="36"/>
      <c r="R33" s="16"/>
      <c r="S33" s="37"/>
      <c r="T33" s="36"/>
      <c r="U33" s="16"/>
      <c r="V33" s="37"/>
      <c r="W33" s="36"/>
      <c r="X33" s="16"/>
      <c r="Y33" s="37"/>
      <c r="Z33" s="36"/>
      <c r="AA33" s="16"/>
      <c r="AB33" s="37"/>
      <c r="AC33" s="36"/>
      <c r="AD33" s="16"/>
      <c r="AE33" s="23"/>
      <c r="AF33" s="36"/>
      <c r="AG33" s="16"/>
      <c r="AH33" s="37"/>
      <c r="AI33" s="36"/>
      <c r="AJ33" s="16"/>
      <c r="AK33" s="37"/>
    </row>
    <row r="34" spans="1:37" ht="21" customHeight="1">
      <c r="A34" s="11">
        <v>30</v>
      </c>
      <c r="B34" s="34"/>
      <c r="C34" s="16"/>
      <c r="D34" s="37"/>
      <c r="E34" s="36"/>
      <c r="F34" s="16"/>
      <c r="G34" s="37"/>
      <c r="H34" s="36"/>
      <c r="I34" s="16"/>
      <c r="J34" s="37"/>
      <c r="K34" s="36"/>
      <c r="L34" s="16"/>
      <c r="M34" s="37"/>
      <c r="N34" s="36"/>
      <c r="O34" s="16"/>
      <c r="P34" s="37"/>
      <c r="Q34" s="36"/>
      <c r="R34" s="16"/>
      <c r="S34" s="37"/>
      <c r="T34" s="36"/>
      <c r="U34" s="16"/>
      <c r="V34" s="37"/>
      <c r="W34" s="36"/>
      <c r="X34" s="16"/>
      <c r="Y34" s="37"/>
      <c r="Z34" s="36"/>
      <c r="AA34" s="16"/>
      <c r="AB34" s="37"/>
      <c r="AC34" s="36"/>
      <c r="AD34" s="16"/>
      <c r="AE34" s="23"/>
      <c r="AF34" s="36"/>
      <c r="AG34" s="16"/>
      <c r="AH34" s="37"/>
      <c r="AI34" s="36"/>
      <c r="AJ34" s="16"/>
      <c r="AK34" s="37"/>
    </row>
    <row r="35" spans="1:37" ht="21" customHeight="1">
      <c r="A35" s="11">
        <v>31</v>
      </c>
      <c r="B35" s="34"/>
      <c r="C35" s="16"/>
      <c r="D35" s="37"/>
      <c r="E35" s="36"/>
      <c r="F35" s="16"/>
      <c r="G35" s="37"/>
      <c r="H35" s="36"/>
      <c r="I35" s="16"/>
      <c r="J35" s="37"/>
      <c r="K35" s="36"/>
      <c r="L35" s="16"/>
      <c r="M35" s="37"/>
      <c r="N35" s="36"/>
      <c r="O35" s="16"/>
      <c r="P35" s="37"/>
      <c r="Q35" s="36"/>
      <c r="R35" s="16"/>
      <c r="S35" s="37"/>
      <c r="T35" s="36"/>
      <c r="U35" s="16"/>
      <c r="V35" s="37"/>
      <c r="W35" s="36"/>
      <c r="X35" s="16"/>
      <c r="Y35" s="37"/>
      <c r="Z35" s="36"/>
      <c r="AA35" s="16"/>
      <c r="AB35" s="37"/>
      <c r="AC35" s="36"/>
      <c r="AD35" s="16"/>
      <c r="AE35" s="23"/>
      <c r="AF35" s="36"/>
      <c r="AG35" s="16"/>
      <c r="AH35" s="37"/>
      <c r="AI35" s="36"/>
      <c r="AJ35" s="16"/>
      <c r="AK35" s="37"/>
    </row>
    <row r="36" spans="1:37" ht="21" customHeight="1">
      <c r="A36" s="11">
        <v>32</v>
      </c>
      <c r="B36" s="34"/>
      <c r="C36" s="16"/>
      <c r="D36" s="37"/>
      <c r="E36" s="36"/>
      <c r="F36" s="16"/>
      <c r="G36" s="37"/>
      <c r="H36" s="36"/>
      <c r="I36" s="16"/>
      <c r="J36" s="37"/>
      <c r="K36" s="36"/>
      <c r="L36" s="16"/>
      <c r="M36" s="37"/>
      <c r="N36" s="36"/>
      <c r="O36" s="16"/>
      <c r="P36" s="37"/>
      <c r="Q36" s="36"/>
      <c r="R36" s="16"/>
      <c r="S36" s="37"/>
      <c r="T36" s="36"/>
      <c r="U36" s="16"/>
      <c r="V36" s="37"/>
      <c r="W36" s="36"/>
      <c r="X36" s="16"/>
      <c r="Y36" s="37"/>
      <c r="Z36" s="36"/>
      <c r="AA36" s="16"/>
      <c r="AB36" s="37"/>
      <c r="AC36" s="36"/>
      <c r="AD36" s="16"/>
      <c r="AE36" s="23"/>
      <c r="AF36" s="36"/>
      <c r="AG36" s="16"/>
      <c r="AH36" s="37"/>
      <c r="AI36" s="36"/>
      <c r="AJ36" s="16"/>
      <c r="AK36" s="37"/>
    </row>
    <row r="37" spans="1:37" ht="21" customHeight="1">
      <c r="A37" s="11">
        <v>33</v>
      </c>
      <c r="B37" s="34"/>
      <c r="C37" s="16"/>
      <c r="D37" s="37"/>
      <c r="E37" s="36"/>
      <c r="F37" s="16"/>
      <c r="G37" s="37"/>
      <c r="H37" s="36"/>
      <c r="I37" s="16"/>
      <c r="J37" s="37"/>
      <c r="K37" s="36"/>
      <c r="L37" s="16"/>
      <c r="M37" s="37"/>
      <c r="N37" s="36"/>
      <c r="O37" s="16"/>
      <c r="P37" s="37"/>
      <c r="Q37" s="36"/>
      <c r="R37" s="16"/>
      <c r="S37" s="37"/>
      <c r="T37" s="36"/>
      <c r="U37" s="16"/>
      <c r="V37" s="37"/>
      <c r="W37" s="36"/>
      <c r="X37" s="16"/>
      <c r="Y37" s="37"/>
      <c r="Z37" s="36"/>
      <c r="AA37" s="16"/>
      <c r="AB37" s="37"/>
      <c r="AC37" s="36"/>
      <c r="AD37" s="16"/>
      <c r="AE37" s="23"/>
      <c r="AF37" s="36"/>
      <c r="AG37" s="16"/>
      <c r="AH37" s="37"/>
      <c r="AI37" s="36"/>
      <c r="AJ37" s="16"/>
      <c r="AK37" s="37"/>
    </row>
    <row r="38" spans="1:37" ht="21" customHeight="1">
      <c r="A38" s="11">
        <v>34</v>
      </c>
      <c r="B38" s="34"/>
      <c r="C38" s="16"/>
      <c r="D38" s="37"/>
      <c r="E38" s="36"/>
      <c r="F38" s="16"/>
      <c r="G38" s="37"/>
      <c r="H38" s="36"/>
      <c r="I38" s="16"/>
      <c r="J38" s="37"/>
      <c r="K38" s="36"/>
      <c r="L38" s="16"/>
      <c r="M38" s="37"/>
      <c r="N38" s="36"/>
      <c r="O38" s="16"/>
      <c r="P38" s="37"/>
      <c r="Q38" s="36"/>
      <c r="R38" s="16"/>
      <c r="S38" s="37"/>
      <c r="T38" s="36"/>
      <c r="U38" s="16"/>
      <c r="V38" s="37"/>
      <c r="W38" s="36"/>
      <c r="X38" s="16"/>
      <c r="Y38" s="37"/>
      <c r="Z38" s="36"/>
      <c r="AA38" s="16"/>
      <c r="AB38" s="37"/>
      <c r="AC38" s="36"/>
      <c r="AD38" s="16"/>
      <c r="AE38" s="23"/>
      <c r="AF38" s="36"/>
      <c r="AG38" s="16"/>
      <c r="AH38" s="37"/>
      <c r="AI38" s="36"/>
      <c r="AJ38" s="16"/>
      <c r="AK38" s="37"/>
    </row>
    <row r="39" spans="1:37" ht="21" customHeight="1">
      <c r="A39" s="11">
        <v>35</v>
      </c>
      <c r="B39" s="34"/>
      <c r="C39" s="16"/>
      <c r="D39" s="37"/>
      <c r="E39" s="36"/>
      <c r="F39" s="16"/>
      <c r="G39" s="37"/>
      <c r="H39" s="36"/>
      <c r="I39" s="16"/>
      <c r="J39" s="37"/>
      <c r="K39" s="36"/>
      <c r="L39" s="16"/>
      <c r="M39" s="37"/>
      <c r="N39" s="36"/>
      <c r="O39" s="16"/>
      <c r="P39" s="37"/>
      <c r="Q39" s="36"/>
      <c r="R39" s="16"/>
      <c r="S39" s="37"/>
      <c r="T39" s="36"/>
      <c r="U39" s="16"/>
      <c r="V39" s="37"/>
      <c r="W39" s="36"/>
      <c r="X39" s="16"/>
      <c r="Y39" s="37"/>
      <c r="Z39" s="36"/>
      <c r="AA39" s="16"/>
      <c r="AB39" s="37"/>
      <c r="AC39" s="36"/>
      <c r="AD39" s="16"/>
      <c r="AE39" s="23"/>
      <c r="AF39" s="36"/>
      <c r="AG39" s="16"/>
      <c r="AH39" s="37"/>
      <c r="AI39" s="36"/>
      <c r="AJ39" s="16"/>
      <c r="AK39" s="37"/>
    </row>
    <row r="40" spans="1:37" ht="21" customHeight="1">
      <c r="A40" s="11">
        <v>36</v>
      </c>
      <c r="B40" s="34"/>
      <c r="C40" s="16"/>
      <c r="D40" s="37"/>
      <c r="E40" s="36"/>
      <c r="F40" s="16"/>
      <c r="G40" s="37"/>
      <c r="H40" s="36"/>
      <c r="I40" s="16"/>
      <c r="J40" s="37"/>
      <c r="K40" s="36"/>
      <c r="L40" s="16"/>
      <c r="M40" s="37"/>
      <c r="N40" s="36"/>
      <c r="O40" s="16"/>
      <c r="P40" s="37"/>
      <c r="Q40" s="36"/>
      <c r="R40" s="16"/>
      <c r="S40" s="37"/>
      <c r="T40" s="36"/>
      <c r="U40" s="16"/>
      <c r="V40" s="37"/>
      <c r="W40" s="36"/>
      <c r="X40" s="16"/>
      <c r="Y40" s="37"/>
      <c r="Z40" s="36"/>
      <c r="AA40" s="16"/>
      <c r="AB40" s="37"/>
      <c r="AC40" s="36"/>
      <c r="AD40" s="16"/>
      <c r="AE40" s="23"/>
      <c r="AF40" s="36"/>
      <c r="AG40" s="16"/>
      <c r="AH40" s="37"/>
      <c r="AI40" s="36"/>
      <c r="AJ40" s="16"/>
      <c r="AK40" s="37"/>
    </row>
    <row r="41" spans="1:37" ht="21" customHeight="1">
      <c r="A41" s="11">
        <v>37</v>
      </c>
      <c r="B41" s="34"/>
      <c r="C41" s="16"/>
      <c r="D41" s="37"/>
      <c r="E41" s="36"/>
      <c r="F41" s="16"/>
      <c r="G41" s="37"/>
      <c r="H41" s="36"/>
      <c r="I41" s="16"/>
      <c r="J41" s="37"/>
      <c r="K41" s="36"/>
      <c r="L41" s="16"/>
      <c r="M41" s="37"/>
      <c r="N41" s="36"/>
      <c r="O41" s="16"/>
      <c r="P41" s="37"/>
      <c r="Q41" s="36"/>
      <c r="R41" s="16"/>
      <c r="S41" s="37"/>
      <c r="T41" s="36"/>
      <c r="U41" s="16"/>
      <c r="V41" s="37"/>
      <c r="W41" s="36"/>
      <c r="X41" s="16"/>
      <c r="Y41" s="37"/>
      <c r="Z41" s="36"/>
      <c r="AA41" s="16"/>
      <c r="AB41" s="37"/>
      <c r="AC41" s="36"/>
      <c r="AD41" s="16"/>
      <c r="AE41" s="23"/>
      <c r="AF41" s="36"/>
      <c r="AG41" s="16"/>
      <c r="AH41" s="37"/>
      <c r="AI41" s="36"/>
      <c r="AJ41" s="16"/>
      <c r="AK41" s="37"/>
    </row>
    <row r="42" spans="1:37" ht="21" customHeight="1">
      <c r="A42" s="11">
        <v>38</v>
      </c>
      <c r="B42" s="34"/>
      <c r="C42" s="16"/>
      <c r="D42" s="37"/>
      <c r="E42" s="36"/>
      <c r="F42" s="16"/>
      <c r="G42" s="37"/>
      <c r="H42" s="36"/>
      <c r="I42" s="16"/>
      <c r="J42" s="37"/>
      <c r="K42" s="36"/>
      <c r="L42" s="16"/>
      <c r="M42" s="37"/>
      <c r="N42" s="36"/>
      <c r="O42" s="16"/>
      <c r="P42" s="37"/>
      <c r="Q42" s="36"/>
      <c r="R42" s="16"/>
      <c r="S42" s="37"/>
      <c r="T42" s="36"/>
      <c r="U42" s="16"/>
      <c r="V42" s="37"/>
      <c r="W42" s="36"/>
      <c r="X42" s="16"/>
      <c r="Y42" s="37"/>
      <c r="Z42" s="36"/>
      <c r="AA42" s="16"/>
      <c r="AB42" s="37"/>
      <c r="AC42" s="36"/>
      <c r="AD42" s="16"/>
      <c r="AE42" s="23"/>
      <c r="AF42" s="36"/>
      <c r="AG42" s="16"/>
      <c r="AH42" s="37"/>
      <c r="AI42" s="36"/>
      <c r="AJ42" s="16"/>
      <c r="AK42" s="37"/>
    </row>
    <row r="43" spans="1:37" ht="21" customHeight="1">
      <c r="A43" s="11">
        <v>39</v>
      </c>
      <c r="B43" s="34"/>
      <c r="C43" s="16"/>
      <c r="D43" s="37"/>
      <c r="E43" s="36"/>
      <c r="F43" s="16"/>
      <c r="G43" s="37"/>
      <c r="H43" s="36"/>
      <c r="I43" s="16"/>
      <c r="J43" s="37"/>
      <c r="K43" s="36"/>
      <c r="L43" s="16"/>
      <c r="M43" s="37"/>
      <c r="N43" s="36"/>
      <c r="O43" s="16"/>
      <c r="P43" s="37"/>
      <c r="Q43" s="36"/>
      <c r="R43" s="16"/>
      <c r="S43" s="37"/>
      <c r="T43" s="36"/>
      <c r="U43" s="16"/>
      <c r="V43" s="37"/>
      <c r="W43" s="36"/>
      <c r="X43" s="16"/>
      <c r="Y43" s="37"/>
      <c r="Z43" s="36"/>
      <c r="AA43" s="16"/>
      <c r="AB43" s="37"/>
      <c r="AC43" s="36"/>
      <c r="AD43" s="16"/>
      <c r="AE43" s="23"/>
      <c r="AF43" s="36"/>
      <c r="AG43" s="16"/>
      <c r="AH43" s="37"/>
      <c r="AI43" s="36"/>
      <c r="AJ43" s="16"/>
      <c r="AK43" s="37"/>
    </row>
    <row r="44" spans="1:37" ht="21" customHeight="1">
      <c r="A44" s="11">
        <v>40</v>
      </c>
      <c r="B44" s="34"/>
      <c r="C44" s="16"/>
      <c r="D44" s="37"/>
      <c r="E44" s="36"/>
      <c r="F44" s="16"/>
      <c r="G44" s="37"/>
      <c r="H44" s="36"/>
      <c r="I44" s="16"/>
      <c r="J44" s="37"/>
      <c r="K44" s="36"/>
      <c r="L44" s="16"/>
      <c r="M44" s="37"/>
      <c r="N44" s="36"/>
      <c r="O44" s="16"/>
      <c r="P44" s="37"/>
      <c r="Q44" s="36"/>
      <c r="R44" s="16"/>
      <c r="S44" s="37"/>
      <c r="T44" s="36"/>
      <c r="U44" s="16"/>
      <c r="V44" s="37"/>
      <c r="W44" s="36"/>
      <c r="X44" s="16"/>
      <c r="Y44" s="37"/>
      <c r="Z44" s="36"/>
      <c r="AA44" s="16"/>
      <c r="AB44" s="37"/>
      <c r="AC44" s="36"/>
      <c r="AD44" s="16"/>
      <c r="AE44" s="23"/>
      <c r="AF44" s="36"/>
      <c r="AG44" s="16"/>
      <c r="AH44" s="37"/>
      <c r="AI44" s="36"/>
      <c r="AJ44" s="16"/>
      <c r="AK44" s="37"/>
    </row>
    <row r="45" spans="1:37" ht="21" customHeight="1">
      <c r="A45" s="11">
        <v>41</v>
      </c>
      <c r="B45" s="34"/>
      <c r="C45" s="16"/>
      <c r="D45" s="37"/>
      <c r="E45" s="36"/>
      <c r="F45" s="16"/>
      <c r="G45" s="37"/>
      <c r="H45" s="36"/>
      <c r="I45" s="16"/>
      <c r="J45" s="37"/>
      <c r="K45" s="36"/>
      <c r="L45" s="16"/>
      <c r="M45" s="37"/>
      <c r="N45" s="36"/>
      <c r="O45" s="16"/>
      <c r="P45" s="37"/>
      <c r="Q45" s="36"/>
      <c r="R45" s="16"/>
      <c r="S45" s="37"/>
      <c r="T45" s="36"/>
      <c r="U45" s="16"/>
      <c r="V45" s="37"/>
      <c r="W45" s="36"/>
      <c r="X45" s="16"/>
      <c r="Y45" s="37"/>
      <c r="Z45" s="36"/>
      <c r="AA45" s="16"/>
      <c r="AB45" s="37"/>
      <c r="AC45" s="36"/>
      <c r="AD45" s="16"/>
      <c r="AE45" s="23"/>
      <c r="AF45" s="36"/>
      <c r="AG45" s="16"/>
      <c r="AH45" s="37"/>
      <c r="AI45" s="36"/>
      <c r="AJ45" s="16"/>
      <c r="AK45" s="37"/>
    </row>
    <row r="46" spans="1:37" ht="21" customHeight="1" thickBot="1">
      <c r="A46" s="11">
        <v>42</v>
      </c>
      <c r="B46" s="38"/>
      <c r="C46" s="39"/>
      <c r="D46" s="40"/>
      <c r="E46" s="42"/>
      <c r="F46" s="43"/>
      <c r="G46" s="40"/>
      <c r="H46" s="42"/>
      <c r="I46" s="43"/>
      <c r="J46" s="40"/>
      <c r="K46" s="42"/>
      <c r="L46" s="43"/>
      <c r="M46" s="40"/>
      <c r="N46" s="42"/>
      <c r="O46" s="43"/>
      <c r="P46" s="40"/>
      <c r="Q46" s="42"/>
      <c r="R46" s="43"/>
      <c r="S46" s="40"/>
      <c r="T46" s="42"/>
      <c r="U46" s="43"/>
      <c r="V46" s="40"/>
      <c r="W46" s="42"/>
      <c r="X46" s="43"/>
      <c r="Y46" s="40"/>
      <c r="Z46" s="42"/>
      <c r="AA46" s="43"/>
      <c r="AB46" s="40"/>
      <c r="AC46" s="42"/>
      <c r="AD46" s="43"/>
      <c r="AE46" s="44"/>
      <c r="AF46" s="42"/>
      <c r="AG46" s="43"/>
      <c r="AH46" s="40"/>
      <c r="AI46" s="42"/>
      <c r="AJ46" s="43"/>
      <c r="AK46" s="40"/>
    </row>
    <row r="47" ht="21" customHeight="1" thickTop="1"/>
    <row r="48" ht="18" customHeight="1" hidden="1">
      <c r="A48" s="9" t="s">
        <v>107</v>
      </c>
    </row>
    <row r="49" ht="18" customHeight="1" hidden="1">
      <c r="A49" s="9" t="s">
        <v>108</v>
      </c>
    </row>
    <row r="50" ht="18" customHeight="1"/>
    <row r="51" ht="18" customHeight="1"/>
    <row r="52" ht="18" customHeight="1"/>
    <row r="53" ht="18" customHeight="1"/>
  </sheetData>
  <sheetProtection password="DA1F" sheet="1" objects="1" scenarios="1"/>
  <mergeCells count="13">
    <mergeCell ref="AI2:AK2"/>
    <mergeCell ref="A1:J1"/>
    <mergeCell ref="N2:P2"/>
    <mergeCell ref="AC2:AE2"/>
    <mergeCell ref="Z2:AB2"/>
    <mergeCell ref="E2:G2"/>
    <mergeCell ref="B2:D2"/>
    <mergeCell ref="K2:M2"/>
    <mergeCell ref="H2:J2"/>
    <mergeCell ref="W2:Y2"/>
    <mergeCell ref="T2:V2"/>
    <mergeCell ref="Q2:S2"/>
    <mergeCell ref="AF2:AH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S62"/>
  <sheetViews>
    <sheetView zoomScalePageLayoutView="0" workbookViewId="0" topLeftCell="A1">
      <selection activeCell="D3" sqref="D3:G3"/>
    </sheetView>
  </sheetViews>
  <sheetFormatPr defaultColWidth="9.140625" defaultRowHeight="15"/>
  <cols>
    <col min="1" max="1" width="6.140625" style="59" customWidth="1"/>
    <col min="2" max="7" width="10.57421875" style="59" customWidth="1"/>
    <col min="8" max="8" width="3.28125" style="59" customWidth="1"/>
    <col min="9" max="12" width="10.57421875" style="59" customWidth="1"/>
    <col min="13" max="22" width="10.57421875" style="59" hidden="1" customWidth="1"/>
    <col min="23" max="23" width="9.00390625" style="59" hidden="1" customWidth="1"/>
    <col min="24" max="16384" width="9.00390625" style="59" customWidth="1"/>
  </cols>
  <sheetData>
    <row r="1" spans="1:13" ht="32.25" customHeight="1">
      <c r="A1" s="224" t="s">
        <v>106</v>
      </c>
      <c r="B1" s="224"/>
      <c r="C1" s="224"/>
      <c r="D1" s="224"/>
      <c r="E1" s="224"/>
      <c r="F1" s="224"/>
      <c r="G1" s="224"/>
      <c r="H1" s="60"/>
      <c r="I1" s="60"/>
      <c r="J1" s="60"/>
      <c r="K1" s="60"/>
      <c r="L1" s="60"/>
      <c r="M1" s="60"/>
    </row>
    <row r="2" spans="1:13" ht="27" customHeight="1">
      <c r="A2" s="78"/>
      <c r="B2" s="252" t="s">
        <v>86</v>
      </c>
      <c r="C2" s="252"/>
      <c r="D2" s="252" t="s">
        <v>87</v>
      </c>
      <c r="E2" s="252"/>
      <c r="F2" s="252"/>
      <c r="G2" s="252"/>
      <c r="H2" s="61"/>
      <c r="I2" s="61"/>
      <c r="J2" s="61"/>
      <c r="K2" s="61"/>
      <c r="L2" s="61"/>
      <c r="M2" s="61"/>
    </row>
    <row r="3" spans="1:13" ht="23.25" customHeight="1">
      <c r="A3" s="218" t="s">
        <v>184</v>
      </c>
      <c r="B3" s="252" t="s">
        <v>3</v>
      </c>
      <c r="C3" s="252"/>
      <c r="D3" s="244" t="s">
        <v>149</v>
      </c>
      <c r="E3" s="244"/>
      <c r="F3" s="244"/>
      <c r="G3" s="244"/>
      <c r="H3" s="62"/>
      <c r="I3" s="62"/>
      <c r="J3" s="62"/>
      <c r="K3" s="62"/>
      <c r="L3" s="62"/>
      <c r="M3" s="62"/>
    </row>
    <row r="4" spans="1:13" ht="23.25" customHeight="1">
      <c r="A4" s="218"/>
      <c r="B4" s="252" t="s">
        <v>1</v>
      </c>
      <c r="C4" s="252"/>
      <c r="D4" s="244" t="s">
        <v>90</v>
      </c>
      <c r="E4" s="244"/>
      <c r="F4" s="244"/>
      <c r="G4" s="244"/>
      <c r="H4" s="62"/>
      <c r="I4" s="62"/>
      <c r="J4" s="62"/>
      <c r="K4" s="77"/>
      <c r="L4" s="62"/>
      <c r="M4" s="62"/>
    </row>
    <row r="5" spans="1:13" ht="23.25" customHeight="1">
      <c r="A5" s="218"/>
      <c r="B5" s="252" t="s">
        <v>2</v>
      </c>
      <c r="C5" s="252"/>
      <c r="D5" s="244" t="s">
        <v>150</v>
      </c>
      <c r="E5" s="244"/>
      <c r="F5" s="244"/>
      <c r="G5" s="244"/>
      <c r="H5" s="62"/>
      <c r="I5" s="62"/>
      <c r="J5" s="62"/>
      <c r="K5" s="62"/>
      <c r="L5" s="62"/>
      <c r="M5" s="62"/>
    </row>
    <row r="6" spans="1:19" ht="23.25" customHeight="1">
      <c r="A6" s="218"/>
      <c r="B6" s="252" t="s">
        <v>4</v>
      </c>
      <c r="C6" s="252"/>
      <c r="D6" s="245" t="s">
        <v>182</v>
      </c>
      <c r="E6" s="245"/>
      <c r="F6" s="245"/>
      <c r="G6" s="245"/>
      <c r="H6" s="62"/>
      <c r="I6" s="62"/>
      <c r="J6" s="62"/>
      <c r="K6" s="62"/>
      <c r="L6" s="62"/>
      <c r="M6" s="62"/>
      <c r="R6" s="63" t="s">
        <v>5</v>
      </c>
      <c r="S6" s="64">
        <f>MONTH('選手用'!T5)</f>
        <v>7</v>
      </c>
    </row>
    <row r="7" spans="1:19" ht="23.25" customHeight="1">
      <c r="A7" s="218"/>
      <c r="B7" s="252" t="s">
        <v>151</v>
      </c>
      <c r="C7" s="252"/>
      <c r="D7" s="245" t="s">
        <v>210</v>
      </c>
      <c r="E7" s="245"/>
      <c r="F7" s="245"/>
      <c r="G7" s="245"/>
      <c r="H7" s="209" t="s">
        <v>7</v>
      </c>
      <c r="I7" s="225"/>
      <c r="J7" s="65"/>
      <c r="K7" s="65"/>
      <c r="L7" s="62"/>
      <c r="M7" s="62"/>
      <c r="P7" s="68" t="s">
        <v>112</v>
      </c>
      <c r="R7" s="66">
        <f>MONTH('選手用'!T5)</f>
        <v>7</v>
      </c>
      <c r="S7" s="67" t="s">
        <v>9</v>
      </c>
    </row>
    <row r="8" spans="1:19" ht="23.25" customHeight="1">
      <c r="A8" s="218"/>
      <c r="B8" s="252" t="s">
        <v>35</v>
      </c>
      <c r="C8" s="252"/>
      <c r="D8" s="259"/>
      <c r="E8" s="245"/>
      <c r="F8" s="245"/>
      <c r="G8" s="245"/>
      <c r="H8" s="62"/>
      <c r="I8" s="62"/>
      <c r="J8" s="62"/>
      <c r="K8" s="62"/>
      <c r="L8" s="62"/>
      <c r="M8" s="62"/>
      <c r="P8" s="69">
        <f>LEN(D8)</f>
        <v>0</v>
      </c>
      <c r="Q8" s="65"/>
      <c r="R8" s="66">
        <v>2</v>
      </c>
      <c r="S8" s="67" t="s">
        <v>10</v>
      </c>
    </row>
    <row r="9" spans="1:19" ht="23.25" customHeight="1">
      <c r="A9" s="218"/>
      <c r="B9" s="252" t="s">
        <v>187</v>
      </c>
      <c r="C9" s="252"/>
      <c r="D9" s="245"/>
      <c r="E9" s="245"/>
      <c r="F9" s="245"/>
      <c r="G9" s="245"/>
      <c r="H9" s="264" t="str">
        <f>IF(P9&gt;1,"←2日間開催で入力されました","1日開催で入力されました")</f>
        <v>1日開催で入力されました</v>
      </c>
      <c r="I9" s="265"/>
      <c r="J9" s="265"/>
      <c r="K9" s="62"/>
      <c r="L9" s="62"/>
      <c r="M9" s="62"/>
      <c r="P9" s="69">
        <f>LEN(D9)</f>
        <v>0</v>
      </c>
      <c r="Q9" s="65">
        <f>IF(P9+P12&gt;5,1,0)</f>
        <v>0</v>
      </c>
      <c r="R9" s="66">
        <v>3</v>
      </c>
      <c r="S9" s="67" t="s">
        <v>11</v>
      </c>
    </row>
    <row r="10" spans="1:19" ht="23.25" customHeight="1">
      <c r="A10" s="218"/>
      <c r="B10" s="252" t="s">
        <v>36</v>
      </c>
      <c r="C10" s="252"/>
      <c r="D10" s="260"/>
      <c r="E10" s="260"/>
      <c r="F10" s="260"/>
      <c r="G10" s="260"/>
      <c r="H10" s="70"/>
      <c r="I10" s="70"/>
      <c r="J10" s="70"/>
      <c r="K10" s="70"/>
      <c r="L10" s="70"/>
      <c r="M10" s="70"/>
      <c r="P10" s="69"/>
      <c r="R10" s="66">
        <v>4</v>
      </c>
      <c r="S10" s="67" t="s">
        <v>12</v>
      </c>
    </row>
    <row r="11" spans="1:19" ht="23.25" customHeight="1">
      <c r="A11" s="218"/>
      <c r="B11" s="262" t="s">
        <v>89</v>
      </c>
      <c r="C11" s="263"/>
      <c r="D11" s="260"/>
      <c r="E11" s="260"/>
      <c r="F11" s="260"/>
      <c r="G11" s="260"/>
      <c r="H11" s="70"/>
      <c r="I11" s="70"/>
      <c r="J11" s="70"/>
      <c r="K11" s="70"/>
      <c r="L11" s="70"/>
      <c r="M11" s="70"/>
      <c r="P11" s="69">
        <f>LEN(D11)</f>
        <v>0</v>
      </c>
      <c r="Q11" s="59">
        <f>P12-P11</f>
        <v>0</v>
      </c>
      <c r="R11" s="66">
        <v>5</v>
      </c>
      <c r="S11" s="67" t="s">
        <v>13</v>
      </c>
    </row>
    <row r="12" spans="1:19" ht="23.25" customHeight="1">
      <c r="A12" s="218"/>
      <c r="B12" s="262" t="s">
        <v>88</v>
      </c>
      <c r="C12" s="263"/>
      <c r="D12" s="261"/>
      <c r="E12" s="245"/>
      <c r="F12" s="245"/>
      <c r="G12" s="245"/>
      <c r="H12" s="62"/>
      <c r="I12" s="62"/>
      <c r="J12" s="62"/>
      <c r="K12" s="62"/>
      <c r="L12" s="62"/>
      <c r="M12" s="62"/>
      <c r="P12" s="71">
        <f>LEN(D12)</f>
        <v>0</v>
      </c>
      <c r="Q12" s="59">
        <f>IF(Q11&lt;0,1,0)</f>
        <v>0</v>
      </c>
      <c r="R12" s="66">
        <v>6</v>
      </c>
      <c r="S12" s="67" t="s">
        <v>14</v>
      </c>
    </row>
    <row r="13" spans="1:19" ht="23.25" customHeight="1">
      <c r="A13" s="218"/>
      <c r="B13" s="252" t="s">
        <v>22</v>
      </c>
      <c r="C13" s="252"/>
      <c r="D13" s="245"/>
      <c r="E13" s="245"/>
      <c r="F13" s="245"/>
      <c r="G13" s="245"/>
      <c r="H13" s="62"/>
      <c r="I13" s="62"/>
      <c r="J13" s="62"/>
      <c r="K13" s="62"/>
      <c r="L13" s="62"/>
      <c r="M13" s="62"/>
      <c r="R13" s="66">
        <v>7</v>
      </c>
      <c r="S13" s="67" t="s">
        <v>15</v>
      </c>
    </row>
    <row r="14" spans="1:19" ht="23.25" customHeight="1">
      <c r="A14" s="218"/>
      <c r="B14" s="252" t="s">
        <v>39</v>
      </c>
      <c r="C14" s="252"/>
      <c r="D14" s="245"/>
      <c r="E14" s="245"/>
      <c r="F14" s="245"/>
      <c r="G14" s="245"/>
      <c r="H14" s="62"/>
      <c r="I14" s="62"/>
      <c r="J14" s="62"/>
      <c r="K14" s="62"/>
      <c r="L14" s="62"/>
      <c r="M14" s="62"/>
      <c r="R14" s="66">
        <v>8</v>
      </c>
      <c r="S14" s="67" t="s">
        <v>16</v>
      </c>
    </row>
    <row r="15" spans="1:19" ht="23.25" customHeight="1">
      <c r="A15" s="218"/>
      <c r="B15" s="252" t="s">
        <v>6</v>
      </c>
      <c r="C15" s="252"/>
      <c r="D15" s="249"/>
      <c r="E15" s="249"/>
      <c r="F15" s="249"/>
      <c r="G15" s="249"/>
      <c r="H15" s="72"/>
      <c r="I15" s="72"/>
      <c r="J15" s="72"/>
      <c r="K15" s="72"/>
      <c r="L15" s="72"/>
      <c r="M15" s="72"/>
      <c r="R15" s="66">
        <v>9</v>
      </c>
      <c r="S15" s="67" t="s">
        <v>17</v>
      </c>
    </row>
    <row r="16" spans="1:19" ht="23.25" customHeight="1">
      <c r="A16" s="218"/>
      <c r="B16" s="252"/>
      <c r="C16" s="252"/>
      <c r="D16" s="249"/>
      <c r="E16" s="249"/>
      <c r="F16" s="249"/>
      <c r="G16" s="249"/>
      <c r="H16" s="72"/>
      <c r="I16" s="72"/>
      <c r="J16" s="72"/>
      <c r="K16" s="72"/>
      <c r="L16" s="72"/>
      <c r="M16" s="72"/>
      <c r="R16" s="66">
        <v>10</v>
      </c>
      <c r="S16" s="67" t="s">
        <v>18</v>
      </c>
    </row>
    <row r="17" spans="1:19" ht="23.25" customHeight="1">
      <c r="A17" s="218"/>
      <c r="B17" s="252" t="s">
        <v>38</v>
      </c>
      <c r="C17" s="252"/>
      <c r="D17" s="234" t="s">
        <v>191</v>
      </c>
      <c r="E17" s="236"/>
      <c r="F17" s="250">
        <v>1000</v>
      </c>
      <c r="G17" s="236"/>
      <c r="H17" s="78" t="s">
        <v>41</v>
      </c>
      <c r="I17" s="62"/>
      <c r="J17" s="62"/>
      <c r="K17" s="62"/>
      <c r="L17" s="62"/>
      <c r="M17" s="62"/>
      <c r="R17" s="66">
        <v>11</v>
      </c>
      <c r="S17" s="67" t="s">
        <v>19</v>
      </c>
    </row>
    <row r="18" spans="1:19" ht="23.25" customHeight="1">
      <c r="A18" s="218"/>
      <c r="B18" s="258" t="s">
        <v>40</v>
      </c>
      <c r="C18" s="258"/>
      <c r="D18" s="245" t="s">
        <v>192</v>
      </c>
      <c r="E18" s="245"/>
      <c r="F18" s="245"/>
      <c r="G18" s="245"/>
      <c r="H18" s="213" t="s">
        <v>44</v>
      </c>
      <c r="I18" s="226"/>
      <c r="J18" s="73"/>
      <c r="K18" s="73"/>
      <c r="L18" s="62"/>
      <c r="M18" s="62"/>
      <c r="R18" s="66">
        <v>12</v>
      </c>
      <c r="S18" s="67" t="s">
        <v>20</v>
      </c>
    </row>
    <row r="19" spans="1:19" ht="23.25" customHeight="1">
      <c r="A19" s="218"/>
      <c r="B19" s="207" t="s">
        <v>23</v>
      </c>
      <c r="C19" s="208"/>
      <c r="D19" s="246" t="s">
        <v>219</v>
      </c>
      <c r="E19" s="247"/>
      <c r="F19" s="247" t="s">
        <v>225</v>
      </c>
      <c r="G19" s="248"/>
      <c r="H19" s="62"/>
      <c r="I19" s="62"/>
      <c r="J19" s="62"/>
      <c r="K19" s="62"/>
      <c r="L19" s="62"/>
      <c r="M19" s="62"/>
      <c r="P19" s="59">
        <f>LEN(D19)</f>
        <v>4</v>
      </c>
      <c r="R19" s="254" t="s">
        <v>8</v>
      </c>
      <c r="S19" s="255"/>
    </row>
    <row r="20" spans="1:19" ht="23.25" customHeight="1">
      <c r="A20" s="218"/>
      <c r="B20" s="209"/>
      <c r="C20" s="210"/>
      <c r="D20" s="246"/>
      <c r="E20" s="247"/>
      <c r="F20" s="247"/>
      <c r="G20" s="248"/>
      <c r="H20" s="62"/>
      <c r="I20" s="62"/>
      <c r="J20" s="62"/>
      <c r="K20" s="62"/>
      <c r="L20" s="62"/>
      <c r="M20" s="62"/>
      <c r="P20" s="59">
        <f>LEN(D20)</f>
        <v>0</v>
      </c>
      <c r="R20" s="256"/>
      <c r="S20" s="257"/>
    </row>
    <row r="21" spans="1:16" ht="23.25" customHeight="1">
      <c r="A21" s="218"/>
      <c r="B21" s="211" t="s">
        <v>226</v>
      </c>
      <c r="C21" s="212"/>
      <c r="D21" s="246"/>
      <c r="E21" s="247"/>
      <c r="F21" s="247"/>
      <c r="G21" s="248"/>
      <c r="H21" s="62"/>
      <c r="I21" s="62"/>
      <c r="J21" s="62"/>
      <c r="K21" s="62"/>
      <c r="L21" s="62"/>
      <c r="M21" s="62"/>
      <c r="P21" s="59">
        <f>LEN(D21)</f>
        <v>0</v>
      </c>
    </row>
    <row r="22" spans="1:16" ht="23.25" customHeight="1">
      <c r="A22" s="218"/>
      <c r="B22" s="213"/>
      <c r="C22" s="212"/>
      <c r="D22" s="246"/>
      <c r="E22" s="247"/>
      <c r="F22" s="247"/>
      <c r="G22" s="248"/>
      <c r="H22" s="62"/>
      <c r="I22" s="62"/>
      <c r="J22" s="62"/>
      <c r="K22" s="62"/>
      <c r="L22" s="62"/>
      <c r="M22" s="62"/>
      <c r="P22" s="59">
        <f>LEN(D22)</f>
        <v>0</v>
      </c>
    </row>
    <row r="23" spans="1:16" ht="23.25" customHeight="1">
      <c r="A23" s="218"/>
      <c r="B23" s="214"/>
      <c r="C23" s="215"/>
      <c r="D23" s="246"/>
      <c r="E23" s="247"/>
      <c r="F23" s="247"/>
      <c r="G23" s="248"/>
      <c r="H23" s="62"/>
      <c r="I23" s="62"/>
      <c r="J23" s="62"/>
      <c r="K23" s="62"/>
      <c r="L23" s="62"/>
      <c r="M23" s="62"/>
      <c r="P23" s="59">
        <f>LEN(D23)</f>
        <v>0</v>
      </c>
    </row>
    <row r="24" spans="1:13" ht="23.25" customHeight="1">
      <c r="A24" s="218"/>
      <c r="B24" s="253" t="s">
        <v>47</v>
      </c>
      <c r="C24" s="253"/>
      <c r="D24" s="245"/>
      <c r="E24" s="245"/>
      <c r="F24" s="245"/>
      <c r="G24" s="245"/>
      <c r="H24" s="62"/>
      <c r="I24" s="62"/>
      <c r="J24" s="62"/>
      <c r="K24" s="62"/>
      <c r="L24" s="62"/>
      <c r="M24" s="62"/>
    </row>
    <row r="25" spans="1:15" ht="23.25" customHeight="1">
      <c r="A25" s="218"/>
      <c r="B25" s="252" t="s">
        <v>48</v>
      </c>
      <c r="C25" s="252"/>
      <c r="D25" s="245"/>
      <c r="E25" s="245"/>
      <c r="F25" s="245"/>
      <c r="G25" s="245"/>
      <c r="H25" s="62"/>
      <c r="I25" s="62"/>
      <c r="J25" s="62"/>
      <c r="K25" s="62"/>
      <c r="L25" s="62"/>
      <c r="M25" s="62"/>
      <c r="N25" s="59" t="s">
        <v>134</v>
      </c>
      <c r="O25" s="59" t="s">
        <v>135</v>
      </c>
    </row>
    <row r="26" spans="1:14" ht="23.25" customHeight="1">
      <c r="A26" s="218"/>
      <c r="B26" s="245" t="s">
        <v>183</v>
      </c>
      <c r="C26" s="245"/>
      <c r="D26" s="245"/>
      <c r="E26" s="245"/>
      <c r="F26" s="245"/>
      <c r="G26" s="245"/>
      <c r="H26" s="62"/>
      <c r="I26" s="62"/>
      <c r="J26" s="62"/>
      <c r="K26" s="62"/>
      <c r="L26" s="62"/>
      <c r="M26" s="62"/>
      <c r="N26" s="74" t="s">
        <v>136</v>
      </c>
    </row>
    <row r="27" spans="1:14" ht="23.25" customHeight="1">
      <c r="A27" s="218"/>
      <c r="B27" s="245" t="s">
        <v>211</v>
      </c>
      <c r="C27" s="245"/>
      <c r="D27" s="245"/>
      <c r="E27" s="245"/>
      <c r="F27" s="245"/>
      <c r="G27" s="245"/>
      <c r="H27" s="62"/>
      <c r="I27" s="62"/>
      <c r="J27" s="62"/>
      <c r="K27" s="62"/>
      <c r="L27" s="62"/>
      <c r="M27" s="62"/>
      <c r="N27" s="75" t="s">
        <v>136</v>
      </c>
    </row>
    <row r="28" spans="1:13" ht="23.25" customHeight="1">
      <c r="A28" s="218"/>
      <c r="B28" s="252" t="s">
        <v>45</v>
      </c>
      <c r="C28" s="252"/>
      <c r="D28" s="245"/>
      <c r="E28" s="245"/>
      <c r="F28" s="245"/>
      <c r="G28" s="245"/>
      <c r="H28" s="62"/>
      <c r="I28" s="62"/>
      <c r="J28" s="62"/>
      <c r="K28" s="62"/>
      <c r="L28" s="62"/>
      <c r="M28" s="62"/>
    </row>
    <row r="29" spans="1:13" ht="23.25" customHeight="1">
      <c r="A29" s="218"/>
      <c r="B29" s="252" t="s">
        <v>51</v>
      </c>
      <c r="C29" s="252"/>
      <c r="D29" s="245" t="s">
        <v>52</v>
      </c>
      <c r="E29" s="245"/>
      <c r="F29" s="245"/>
      <c r="G29" s="245"/>
      <c r="H29" s="62"/>
      <c r="I29" s="62"/>
      <c r="J29" s="62"/>
      <c r="K29" s="62"/>
      <c r="L29" s="62"/>
      <c r="M29" s="62"/>
    </row>
    <row r="30" spans="1:18" ht="23.25" customHeight="1">
      <c r="A30" s="218"/>
      <c r="B30" s="252" t="s">
        <v>59</v>
      </c>
      <c r="C30" s="252"/>
      <c r="D30" s="245" t="s">
        <v>189</v>
      </c>
      <c r="E30" s="245"/>
      <c r="F30" s="245"/>
      <c r="G30" s="245"/>
      <c r="H30" s="62"/>
      <c r="I30" s="62"/>
      <c r="J30" s="62"/>
      <c r="K30" s="62"/>
      <c r="L30" s="62"/>
      <c r="M30" s="62"/>
      <c r="R30" s="59" t="s">
        <v>52</v>
      </c>
    </row>
    <row r="31" spans="1:18" ht="23.25" customHeight="1">
      <c r="A31" s="218"/>
      <c r="B31" s="252" t="s">
        <v>60</v>
      </c>
      <c r="C31" s="252"/>
      <c r="D31" s="245"/>
      <c r="E31" s="245"/>
      <c r="F31" s="245"/>
      <c r="G31" s="245"/>
      <c r="H31" s="62"/>
      <c r="I31" s="62"/>
      <c r="J31" s="62"/>
      <c r="K31" s="62"/>
      <c r="L31" s="62"/>
      <c r="M31" s="62"/>
      <c r="R31" s="59" t="s">
        <v>53</v>
      </c>
    </row>
    <row r="32" spans="1:13" ht="23.25" customHeight="1">
      <c r="A32" s="218" t="s">
        <v>185</v>
      </c>
      <c r="B32" s="227" t="s">
        <v>137</v>
      </c>
      <c r="C32" s="228"/>
      <c r="D32" s="234"/>
      <c r="E32" s="235"/>
      <c r="F32" s="235"/>
      <c r="G32" s="236"/>
      <c r="H32" s="209" t="s">
        <v>141</v>
      </c>
      <c r="I32" s="225"/>
      <c r="J32" s="65"/>
      <c r="K32" s="65"/>
      <c r="L32" s="62"/>
      <c r="M32" s="62"/>
    </row>
    <row r="33" spans="1:13" ht="23.25" customHeight="1">
      <c r="A33" s="218"/>
      <c r="B33" s="227" t="s">
        <v>119</v>
      </c>
      <c r="C33" s="228"/>
      <c r="D33" s="234"/>
      <c r="E33" s="235"/>
      <c r="F33" s="235"/>
      <c r="G33" s="236"/>
      <c r="H33" s="62"/>
      <c r="I33" s="62"/>
      <c r="J33" s="62"/>
      <c r="K33" s="62"/>
      <c r="L33" s="62"/>
      <c r="M33" s="62"/>
    </row>
    <row r="34" spans="1:13" ht="23.25" customHeight="1">
      <c r="A34" s="218"/>
      <c r="B34" s="227" t="s">
        <v>121</v>
      </c>
      <c r="C34" s="228"/>
      <c r="D34" s="234"/>
      <c r="E34" s="235"/>
      <c r="F34" s="235"/>
      <c r="G34" s="236"/>
      <c r="H34" s="62"/>
      <c r="I34" s="62"/>
      <c r="J34" s="62"/>
      <c r="K34" s="62"/>
      <c r="L34" s="62"/>
      <c r="M34" s="62"/>
    </row>
    <row r="35" spans="1:13" ht="23.25" customHeight="1">
      <c r="A35" s="218"/>
      <c r="B35" s="227" t="s">
        <v>114</v>
      </c>
      <c r="C35" s="228"/>
      <c r="D35" s="219" t="s">
        <v>115</v>
      </c>
      <c r="E35" s="220"/>
      <c r="F35" s="219" t="s">
        <v>116</v>
      </c>
      <c r="G35" s="251"/>
      <c r="H35" s="62"/>
      <c r="I35" s="62"/>
      <c r="J35" s="62"/>
      <c r="K35" s="62"/>
      <c r="L35" s="62"/>
      <c r="M35" s="62"/>
    </row>
    <row r="36" spans="1:13" ht="23.25" customHeight="1">
      <c r="A36" s="218"/>
      <c r="B36" s="237">
        <f>D8</f>
        <v>0</v>
      </c>
      <c r="C36" s="238"/>
      <c r="D36" s="243"/>
      <c r="E36" s="235"/>
      <c r="F36" s="234"/>
      <c r="G36" s="236"/>
      <c r="H36" s="62"/>
      <c r="I36" s="62"/>
      <c r="J36" s="62"/>
      <c r="K36" s="62"/>
      <c r="L36" s="62"/>
      <c r="M36" s="62"/>
    </row>
    <row r="37" spans="1:13" ht="23.25" customHeight="1">
      <c r="A37" s="218"/>
      <c r="B37" s="239"/>
      <c r="C37" s="240"/>
      <c r="D37" s="243"/>
      <c r="E37" s="235"/>
      <c r="F37" s="234"/>
      <c r="G37" s="236"/>
      <c r="H37" s="62"/>
      <c r="I37" s="62"/>
      <c r="J37" s="62"/>
      <c r="K37" s="62"/>
      <c r="L37" s="62"/>
      <c r="M37" s="62"/>
    </row>
    <row r="38" spans="1:13" ht="23.25" customHeight="1">
      <c r="A38" s="218"/>
      <c r="B38" s="239"/>
      <c r="C38" s="240"/>
      <c r="D38" s="243"/>
      <c r="E38" s="235"/>
      <c r="F38" s="234"/>
      <c r="G38" s="236"/>
      <c r="H38" s="62"/>
      <c r="I38" s="62"/>
      <c r="J38" s="62"/>
      <c r="K38" s="62"/>
      <c r="L38" s="62"/>
      <c r="M38" s="62"/>
    </row>
    <row r="39" spans="1:13" ht="23.25" customHeight="1">
      <c r="A39" s="218"/>
      <c r="B39" s="239"/>
      <c r="C39" s="240"/>
      <c r="D39" s="243"/>
      <c r="E39" s="235"/>
      <c r="F39" s="234"/>
      <c r="G39" s="236"/>
      <c r="H39" s="62"/>
      <c r="I39" s="62"/>
      <c r="J39" s="62"/>
      <c r="K39" s="62"/>
      <c r="L39" s="62"/>
      <c r="M39" s="62"/>
    </row>
    <row r="40" spans="1:13" ht="23.25" customHeight="1">
      <c r="A40" s="218"/>
      <c r="B40" s="239"/>
      <c r="C40" s="240"/>
      <c r="D40" s="243"/>
      <c r="E40" s="235"/>
      <c r="F40" s="234"/>
      <c r="G40" s="236"/>
      <c r="H40" s="62"/>
      <c r="I40" s="62"/>
      <c r="J40" s="62"/>
      <c r="K40" s="62"/>
      <c r="L40" s="62"/>
      <c r="M40" s="62"/>
    </row>
    <row r="41" spans="1:13" ht="23.25" customHeight="1">
      <c r="A41" s="218"/>
      <c r="B41" s="239"/>
      <c r="C41" s="240"/>
      <c r="D41" s="243"/>
      <c r="E41" s="235"/>
      <c r="F41" s="234"/>
      <c r="G41" s="236"/>
      <c r="H41" s="62"/>
      <c r="I41" s="62"/>
      <c r="J41" s="62"/>
      <c r="K41" s="62"/>
      <c r="L41" s="62"/>
      <c r="M41" s="62"/>
    </row>
    <row r="42" spans="1:13" ht="23.25" customHeight="1">
      <c r="A42" s="218"/>
      <c r="B42" s="239"/>
      <c r="C42" s="240"/>
      <c r="D42" s="243"/>
      <c r="E42" s="235"/>
      <c r="F42" s="234"/>
      <c r="G42" s="236"/>
      <c r="H42" s="62"/>
      <c r="I42" s="62"/>
      <c r="J42" s="62"/>
      <c r="K42" s="62"/>
      <c r="L42" s="62"/>
      <c r="M42" s="62"/>
    </row>
    <row r="43" spans="1:13" ht="23.25" customHeight="1">
      <c r="A43" s="218"/>
      <c r="B43" s="241"/>
      <c r="C43" s="242"/>
      <c r="D43" s="243"/>
      <c r="E43" s="235"/>
      <c r="F43" s="234"/>
      <c r="G43" s="236"/>
      <c r="H43" s="62"/>
      <c r="I43" s="62"/>
      <c r="J43" s="62"/>
      <c r="K43" s="62"/>
      <c r="L43" s="62"/>
      <c r="M43" s="62"/>
    </row>
    <row r="44" spans="1:13" ht="23.25" customHeight="1">
      <c r="A44" s="218"/>
      <c r="B44" s="237">
        <f>D9</f>
        <v>0</v>
      </c>
      <c r="C44" s="238"/>
      <c r="D44" s="243"/>
      <c r="E44" s="235"/>
      <c r="F44" s="234"/>
      <c r="G44" s="236"/>
      <c r="H44" s="62"/>
      <c r="I44" s="62"/>
      <c r="J44" s="62"/>
      <c r="K44" s="62"/>
      <c r="L44" s="62"/>
      <c r="M44" s="62"/>
    </row>
    <row r="45" spans="1:13" ht="23.25" customHeight="1">
      <c r="A45" s="218"/>
      <c r="B45" s="239"/>
      <c r="C45" s="240"/>
      <c r="D45" s="243"/>
      <c r="E45" s="235"/>
      <c r="F45" s="234"/>
      <c r="G45" s="236"/>
      <c r="H45" s="62"/>
      <c r="I45" s="62"/>
      <c r="J45" s="62"/>
      <c r="K45" s="62"/>
      <c r="L45" s="62"/>
      <c r="M45" s="62"/>
    </row>
    <row r="46" spans="1:13" ht="23.25" customHeight="1">
      <c r="A46" s="218"/>
      <c r="B46" s="239"/>
      <c r="C46" s="240"/>
      <c r="D46" s="243"/>
      <c r="E46" s="235"/>
      <c r="F46" s="234"/>
      <c r="G46" s="236"/>
      <c r="H46" s="62"/>
      <c r="I46" s="62"/>
      <c r="J46" s="62"/>
      <c r="K46" s="62"/>
      <c r="L46" s="62"/>
      <c r="M46" s="62"/>
    </row>
    <row r="47" spans="1:13" ht="23.25" customHeight="1">
      <c r="A47" s="218"/>
      <c r="B47" s="239"/>
      <c r="C47" s="240"/>
      <c r="D47" s="243"/>
      <c r="E47" s="235"/>
      <c r="F47" s="234"/>
      <c r="G47" s="236"/>
      <c r="H47" s="62"/>
      <c r="I47" s="62"/>
      <c r="J47" s="62"/>
      <c r="K47" s="62"/>
      <c r="L47" s="62"/>
      <c r="M47" s="62"/>
    </row>
    <row r="48" spans="1:13" ht="23.25" customHeight="1">
      <c r="A48" s="218"/>
      <c r="B48" s="239"/>
      <c r="C48" s="240"/>
      <c r="D48" s="243"/>
      <c r="E48" s="235"/>
      <c r="F48" s="234"/>
      <c r="G48" s="236"/>
      <c r="H48" s="62"/>
      <c r="I48" s="62"/>
      <c r="J48" s="62"/>
      <c r="K48" s="62"/>
      <c r="L48" s="62"/>
      <c r="M48" s="62"/>
    </row>
    <row r="49" spans="1:13" ht="23.25" customHeight="1">
      <c r="A49" s="218"/>
      <c r="B49" s="239"/>
      <c r="C49" s="240"/>
      <c r="D49" s="243"/>
      <c r="E49" s="235"/>
      <c r="F49" s="234"/>
      <c r="G49" s="236"/>
      <c r="H49" s="62"/>
      <c r="I49" s="62"/>
      <c r="J49" s="62"/>
      <c r="K49" s="62"/>
      <c r="L49" s="62"/>
      <c r="M49" s="62"/>
    </row>
    <row r="50" spans="1:13" ht="23.25" customHeight="1">
      <c r="A50" s="218"/>
      <c r="B50" s="239"/>
      <c r="C50" s="240"/>
      <c r="D50" s="243"/>
      <c r="E50" s="235"/>
      <c r="F50" s="234"/>
      <c r="G50" s="236"/>
      <c r="H50" s="62"/>
      <c r="I50" s="62"/>
      <c r="J50" s="62"/>
      <c r="K50" s="62"/>
      <c r="L50" s="62"/>
      <c r="M50" s="62"/>
    </row>
    <row r="51" spans="1:13" ht="23.25" customHeight="1">
      <c r="A51" s="218"/>
      <c r="B51" s="241"/>
      <c r="C51" s="242"/>
      <c r="D51" s="234"/>
      <c r="E51" s="235"/>
      <c r="F51" s="234"/>
      <c r="G51" s="236"/>
      <c r="H51" s="62"/>
      <c r="I51" s="62"/>
      <c r="J51" s="62"/>
      <c r="K51" s="62"/>
      <c r="L51" s="62"/>
      <c r="M51" s="62"/>
    </row>
    <row r="52" spans="1:16" ht="114" customHeight="1">
      <c r="A52" s="218"/>
      <c r="B52" s="227" t="s">
        <v>138</v>
      </c>
      <c r="C52" s="228"/>
      <c r="D52" s="223" t="s">
        <v>193</v>
      </c>
      <c r="E52" s="229"/>
      <c r="F52" s="229"/>
      <c r="G52" s="230"/>
      <c r="H52" s="76"/>
      <c r="I52" s="76"/>
      <c r="J52" s="76"/>
      <c r="K52" s="76"/>
      <c r="L52" s="76"/>
      <c r="M52" s="76"/>
      <c r="P52" s="68" t="s">
        <v>122</v>
      </c>
    </row>
    <row r="53" spans="1:17" ht="22.5" customHeight="1">
      <c r="A53" s="218"/>
      <c r="B53" s="231" t="s">
        <v>198</v>
      </c>
      <c r="C53" s="208"/>
      <c r="D53" s="219" t="s">
        <v>123</v>
      </c>
      <c r="E53" s="220"/>
      <c r="F53" s="221" t="s">
        <v>194</v>
      </c>
      <c r="G53" s="222"/>
      <c r="H53" s="216">
        <f>IF(P53&gt;39,Q53&amp;"文字オーバーしました。文章が縮小して表示されます。","")</f>
      </c>
      <c r="I53" s="217"/>
      <c r="J53" s="217"/>
      <c r="K53" s="217"/>
      <c r="L53" s="217"/>
      <c r="M53" s="77"/>
      <c r="P53" s="69">
        <f>LEN(D53&amp;F53)</f>
        <v>36</v>
      </c>
      <c r="Q53" s="59">
        <f>P53-39</f>
        <v>-3</v>
      </c>
    </row>
    <row r="54" spans="1:17" ht="23.25" customHeight="1">
      <c r="A54" s="218"/>
      <c r="B54" s="209"/>
      <c r="C54" s="210"/>
      <c r="D54" s="219" t="s">
        <v>124</v>
      </c>
      <c r="E54" s="220"/>
      <c r="F54" s="221" t="s">
        <v>195</v>
      </c>
      <c r="G54" s="222"/>
      <c r="H54" s="216">
        <f aca="true" t="shared" si="0" ref="H54:H62">IF(P54&gt;39,Q54&amp;"文字オーバーしました。文章が縮小して表示されます。","")</f>
      </c>
      <c r="I54" s="217"/>
      <c r="J54" s="217"/>
      <c r="K54" s="217"/>
      <c r="L54" s="217"/>
      <c r="M54" s="77"/>
      <c r="P54" s="69">
        <f aca="true" t="shared" si="1" ref="P54:P62">LEN(D54&amp;F54)</f>
        <v>36</v>
      </c>
      <c r="Q54" s="59">
        <f aca="true" t="shared" si="2" ref="Q54:Q62">P54-39</f>
        <v>-3</v>
      </c>
    </row>
    <row r="55" spans="1:17" ht="23.25" customHeight="1">
      <c r="A55" s="218"/>
      <c r="B55" s="209"/>
      <c r="C55" s="210"/>
      <c r="D55" s="219" t="s">
        <v>125</v>
      </c>
      <c r="E55" s="220"/>
      <c r="F55" s="221" t="s">
        <v>196</v>
      </c>
      <c r="G55" s="222"/>
      <c r="H55" s="216">
        <f t="shared" si="0"/>
      </c>
      <c r="I55" s="217"/>
      <c r="J55" s="217"/>
      <c r="K55" s="217"/>
      <c r="L55" s="217"/>
      <c r="M55" s="77"/>
      <c r="P55" s="69">
        <f t="shared" si="1"/>
        <v>38</v>
      </c>
      <c r="Q55" s="59">
        <f t="shared" si="2"/>
        <v>-1</v>
      </c>
    </row>
    <row r="56" spans="1:17" ht="23.25" customHeight="1">
      <c r="A56" s="218"/>
      <c r="B56" s="209"/>
      <c r="C56" s="210"/>
      <c r="D56" s="219" t="s">
        <v>126</v>
      </c>
      <c r="E56" s="220"/>
      <c r="F56" s="221" t="s">
        <v>197</v>
      </c>
      <c r="G56" s="222"/>
      <c r="H56" s="216">
        <f t="shared" si="0"/>
      </c>
      <c r="I56" s="217"/>
      <c r="J56" s="217"/>
      <c r="K56" s="217"/>
      <c r="L56" s="217"/>
      <c r="M56" s="77"/>
      <c r="P56" s="69">
        <f t="shared" si="1"/>
        <v>33</v>
      </c>
      <c r="Q56" s="59">
        <f t="shared" si="2"/>
        <v>-6</v>
      </c>
    </row>
    <row r="57" spans="1:17" ht="23.25" customHeight="1">
      <c r="A57" s="218"/>
      <c r="B57" s="209"/>
      <c r="C57" s="210"/>
      <c r="D57" s="219" t="s">
        <v>127</v>
      </c>
      <c r="E57" s="220"/>
      <c r="F57" s="221" t="s">
        <v>199</v>
      </c>
      <c r="G57" s="222"/>
      <c r="H57" s="216" t="str">
        <f t="shared" si="0"/>
        <v>1文字オーバーしました。文章が縮小して表示されます。</v>
      </c>
      <c r="I57" s="217"/>
      <c r="J57" s="217"/>
      <c r="K57" s="217"/>
      <c r="L57" s="217"/>
      <c r="M57" s="77"/>
      <c r="P57" s="69">
        <f t="shared" si="1"/>
        <v>40</v>
      </c>
      <c r="Q57" s="59">
        <f t="shared" si="2"/>
        <v>1</v>
      </c>
    </row>
    <row r="58" spans="1:17" ht="23.25" customHeight="1">
      <c r="A58" s="218"/>
      <c r="B58" s="209"/>
      <c r="C58" s="210"/>
      <c r="D58" s="219" t="s">
        <v>128</v>
      </c>
      <c r="E58" s="220"/>
      <c r="F58" s="223"/>
      <c r="G58" s="222"/>
      <c r="H58" s="216">
        <f t="shared" si="0"/>
      </c>
      <c r="I58" s="217"/>
      <c r="J58" s="217"/>
      <c r="K58" s="217"/>
      <c r="L58" s="217"/>
      <c r="M58" s="77"/>
      <c r="P58" s="69">
        <f t="shared" si="1"/>
        <v>2</v>
      </c>
      <c r="Q58" s="59">
        <f t="shared" si="2"/>
        <v>-37</v>
      </c>
    </row>
    <row r="59" spans="1:17" ht="23.25" customHeight="1">
      <c r="A59" s="218"/>
      <c r="B59" s="209"/>
      <c r="C59" s="210"/>
      <c r="D59" s="219" t="s">
        <v>129</v>
      </c>
      <c r="E59" s="220"/>
      <c r="F59" s="221"/>
      <c r="G59" s="222"/>
      <c r="H59" s="216">
        <f t="shared" si="0"/>
      </c>
      <c r="I59" s="217"/>
      <c r="J59" s="217"/>
      <c r="K59" s="217"/>
      <c r="L59" s="217"/>
      <c r="M59" s="77"/>
      <c r="P59" s="69">
        <f t="shared" si="1"/>
        <v>2</v>
      </c>
      <c r="Q59" s="59">
        <f t="shared" si="2"/>
        <v>-37</v>
      </c>
    </row>
    <row r="60" spans="1:17" ht="23.25" customHeight="1">
      <c r="A60" s="218"/>
      <c r="B60" s="209"/>
      <c r="C60" s="210"/>
      <c r="D60" s="219" t="s">
        <v>130</v>
      </c>
      <c r="E60" s="220"/>
      <c r="F60" s="221"/>
      <c r="G60" s="222"/>
      <c r="H60" s="216">
        <f t="shared" si="0"/>
      </c>
      <c r="I60" s="217"/>
      <c r="J60" s="217"/>
      <c r="K60" s="217"/>
      <c r="L60" s="217"/>
      <c r="M60" s="77"/>
      <c r="P60" s="69">
        <f>LEN(D60&amp;F60)</f>
        <v>2</v>
      </c>
      <c r="Q60" s="59">
        <f t="shared" si="2"/>
        <v>-37</v>
      </c>
    </row>
    <row r="61" spans="1:17" ht="23.25" customHeight="1">
      <c r="A61" s="218"/>
      <c r="B61" s="209"/>
      <c r="C61" s="210"/>
      <c r="D61" s="219" t="s">
        <v>131</v>
      </c>
      <c r="E61" s="220"/>
      <c r="F61" s="221"/>
      <c r="G61" s="222"/>
      <c r="H61" s="216">
        <f t="shared" si="0"/>
      </c>
      <c r="I61" s="217"/>
      <c r="J61" s="217"/>
      <c r="K61" s="217"/>
      <c r="L61" s="217"/>
      <c r="M61" s="77"/>
      <c r="P61" s="69">
        <f>LEN(D61&amp;F61)</f>
        <v>2</v>
      </c>
      <c r="Q61" s="59">
        <f t="shared" si="2"/>
        <v>-37</v>
      </c>
    </row>
    <row r="62" spans="1:17" ht="23.25" customHeight="1">
      <c r="A62" s="218"/>
      <c r="B62" s="232"/>
      <c r="C62" s="233"/>
      <c r="D62" s="219" t="s">
        <v>132</v>
      </c>
      <c r="E62" s="220"/>
      <c r="F62" s="221"/>
      <c r="G62" s="222"/>
      <c r="H62" s="216">
        <f t="shared" si="0"/>
      </c>
      <c r="I62" s="217"/>
      <c r="J62" s="217"/>
      <c r="K62" s="217"/>
      <c r="L62" s="217"/>
      <c r="M62" s="77"/>
      <c r="P62" s="71">
        <f t="shared" si="1"/>
        <v>2</v>
      </c>
      <c r="Q62" s="59">
        <f t="shared" si="2"/>
        <v>-37</v>
      </c>
    </row>
    <row r="63" ht="23.25" customHeight="1"/>
  </sheetData>
  <sheetProtection password="DA1F" sheet="1" objects="1" scenarios="1"/>
  <mergeCells count="145">
    <mergeCell ref="B7:C7"/>
    <mergeCell ref="B29:C29"/>
    <mergeCell ref="D29:G29"/>
    <mergeCell ref="B30:C30"/>
    <mergeCell ref="D30:G30"/>
    <mergeCell ref="D20:E20"/>
    <mergeCell ref="F20:G20"/>
    <mergeCell ref="D26:G26"/>
    <mergeCell ref="D27:G27"/>
    <mergeCell ref="B2:C2"/>
    <mergeCell ref="D2:G2"/>
    <mergeCell ref="D32:G32"/>
    <mergeCell ref="B31:C31"/>
    <mergeCell ref="D31:G31"/>
    <mergeCell ref="D23:E23"/>
    <mergeCell ref="B4:C4"/>
    <mergeCell ref="B3:C3"/>
    <mergeCell ref="B5:C5"/>
    <mergeCell ref="B6:C6"/>
    <mergeCell ref="D8:G8"/>
    <mergeCell ref="D9:G9"/>
    <mergeCell ref="D10:G10"/>
    <mergeCell ref="D11:G11"/>
    <mergeCell ref="D12:G12"/>
    <mergeCell ref="B11:C11"/>
    <mergeCell ref="B12:C12"/>
    <mergeCell ref="B10:C10"/>
    <mergeCell ref="B8:C8"/>
    <mergeCell ref="R19:S20"/>
    <mergeCell ref="F19:G19"/>
    <mergeCell ref="B9:C9"/>
    <mergeCell ref="B15:C16"/>
    <mergeCell ref="B14:C14"/>
    <mergeCell ref="B17:C17"/>
    <mergeCell ref="B18:C18"/>
    <mergeCell ref="D13:G13"/>
    <mergeCell ref="D14:G14"/>
    <mergeCell ref="H9:J9"/>
    <mergeCell ref="B36:C43"/>
    <mergeCell ref="B24:C24"/>
    <mergeCell ref="B13:C13"/>
    <mergeCell ref="D19:E19"/>
    <mergeCell ref="B35:C35"/>
    <mergeCell ref="B34:C34"/>
    <mergeCell ref="B32:C32"/>
    <mergeCell ref="B26:C26"/>
    <mergeCell ref="B27:C27"/>
    <mergeCell ref="B25:C25"/>
    <mergeCell ref="B28:C28"/>
    <mergeCell ref="D28:G28"/>
    <mergeCell ref="F22:G22"/>
    <mergeCell ref="F23:G23"/>
    <mergeCell ref="D24:G24"/>
    <mergeCell ref="D25:G25"/>
    <mergeCell ref="F17:G17"/>
    <mergeCell ref="D17:E17"/>
    <mergeCell ref="D37:E37"/>
    <mergeCell ref="F37:G37"/>
    <mergeCell ref="F35:G35"/>
    <mergeCell ref="D36:E36"/>
    <mergeCell ref="F36:G36"/>
    <mergeCell ref="D35:E35"/>
    <mergeCell ref="D3:G3"/>
    <mergeCell ref="D4:G4"/>
    <mergeCell ref="D5:G5"/>
    <mergeCell ref="D6:G6"/>
    <mergeCell ref="D7:G7"/>
    <mergeCell ref="D22:E22"/>
    <mergeCell ref="D21:E21"/>
    <mergeCell ref="F21:G21"/>
    <mergeCell ref="D15:G16"/>
    <mergeCell ref="D18:G18"/>
    <mergeCell ref="D41:E41"/>
    <mergeCell ref="F41:G41"/>
    <mergeCell ref="D42:E42"/>
    <mergeCell ref="F42:G42"/>
    <mergeCell ref="D38:E38"/>
    <mergeCell ref="F38:G38"/>
    <mergeCell ref="D39:E39"/>
    <mergeCell ref="F39:G39"/>
    <mergeCell ref="D40:E40"/>
    <mergeCell ref="F40:G40"/>
    <mergeCell ref="D45:E45"/>
    <mergeCell ref="F45:G45"/>
    <mergeCell ref="D46:E46"/>
    <mergeCell ref="F46:G46"/>
    <mergeCell ref="D43:E43"/>
    <mergeCell ref="F43:G43"/>
    <mergeCell ref="D44:E44"/>
    <mergeCell ref="F44:G44"/>
    <mergeCell ref="D49:E49"/>
    <mergeCell ref="F49:G49"/>
    <mergeCell ref="D50:E50"/>
    <mergeCell ref="F50:G50"/>
    <mergeCell ref="D47:E47"/>
    <mergeCell ref="F47:G47"/>
    <mergeCell ref="D48:E48"/>
    <mergeCell ref="F48:G48"/>
    <mergeCell ref="F54:G54"/>
    <mergeCell ref="D55:E55"/>
    <mergeCell ref="F55:G55"/>
    <mergeCell ref="D51:E51"/>
    <mergeCell ref="F51:G51"/>
    <mergeCell ref="D53:E53"/>
    <mergeCell ref="F53:G53"/>
    <mergeCell ref="B53:C62"/>
    <mergeCell ref="B33:C33"/>
    <mergeCell ref="D34:G34"/>
    <mergeCell ref="D33:G33"/>
    <mergeCell ref="D57:E57"/>
    <mergeCell ref="F57:G57"/>
    <mergeCell ref="D56:E56"/>
    <mergeCell ref="F56:G56"/>
    <mergeCell ref="B44:C51"/>
    <mergeCell ref="D54:E54"/>
    <mergeCell ref="A1:G1"/>
    <mergeCell ref="H32:I32"/>
    <mergeCell ref="H7:I7"/>
    <mergeCell ref="H18:I18"/>
    <mergeCell ref="D62:E62"/>
    <mergeCell ref="F62:G62"/>
    <mergeCell ref="B52:C52"/>
    <mergeCell ref="D52:G52"/>
    <mergeCell ref="D60:E60"/>
    <mergeCell ref="F60:G60"/>
    <mergeCell ref="H54:L54"/>
    <mergeCell ref="H53:L53"/>
    <mergeCell ref="A3:A31"/>
    <mergeCell ref="A32:A62"/>
    <mergeCell ref="D61:E61"/>
    <mergeCell ref="F61:G61"/>
    <mergeCell ref="D58:E58"/>
    <mergeCell ref="F58:G58"/>
    <mergeCell ref="D59:E59"/>
    <mergeCell ref="F59:G59"/>
    <mergeCell ref="B19:C20"/>
    <mergeCell ref="B21:C23"/>
    <mergeCell ref="H62:L62"/>
    <mergeCell ref="H61:L61"/>
    <mergeCell ref="H60:L60"/>
    <mergeCell ref="H59:L59"/>
    <mergeCell ref="H58:L58"/>
    <mergeCell ref="H57:L57"/>
    <mergeCell ref="H56:L56"/>
    <mergeCell ref="H55:L55"/>
  </mergeCells>
  <dataValidations count="6">
    <dataValidation type="list" allowBlank="1" showInputMessage="1" showErrorMessage="1" error="リストから選択してください。" sqref="H32">
      <formula1>"開催要項,実施要項,参加計画,実施要項（案）"</formula1>
    </dataValidation>
    <dataValidation type="list" allowBlank="1" showInputMessage="1" showErrorMessage="1" sqref="D29:M29">
      <formula1>$R$30:$R$31</formula1>
    </dataValidation>
    <dataValidation type="list" allowBlank="1" showInputMessage="1" showErrorMessage="1" sqref="D30:M30">
      <formula1>"記載させる,記載の必要なし"</formula1>
    </dataValidation>
    <dataValidation type="list" allowBlank="1" showInputMessage="1" showErrorMessage="1" error="連絡先の種別を選択してください。" sqref="B26:C27">
      <formula1>"自宅,職場,携帯電話,' "</formula1>
    </dataValidation>
    <dataValidation type="list" allowBlank="1" showInputMessage="1" showErrorMessage="1" error="有料又は無料を選択してください" sqref="D17:E17">
      <formula1>"無料,有料"</formula1>
    </dataValidation>
    <dataValidation type="list" allowBlank="1" showInputMessage="1" showErrorMessage="1" prompt="公印の有無を選択してください" error="公印の有無を選択してください" sqref="D6:G6">
      <formula1>"公印あり,公印なし"</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70C0"/>
  </sheetPr>
  <dimension ref="A2:V60"/>
  <sheetViews>
    <sheetView showZeros="0" zoomScalePageLayoutView="0" workbookViewId="0" topLeftCell="A10">
      <selection activeCell="M18" sqref="M18:V19"/>
    </sheetView>
  </sheetViews>
  <sheetFormatPr defaultColWidth="9.140625" defaultRowHeight="15"/>
  <cols>
    <col min="1" max="1" width="9.00390625" style="99" customWidth="1"/>
    <col min="2" max="2" width="16.8515625" style="99" customWidth="1"/>
    <col min="3" max="3" width="13.421875" style="99" customWidth="1"/>
    <col min="4" max="11" width="9.00390625" style="99" hidden="1" customWidth="1"/>
    <col min="12" max="12" width="2.57421875" style="99" customWidth="1"/>
    <col min="13" max="19" width="9.140625" style="99" customWidth="1"/>
    <col min="20" max="20" width="2.7109375" style="99" customWidth="1"/>
    <col min="21" max="22" width="9.140625" style="99" customWidth="1"/>
    <col min="23" max="16384" width="9.00390625" style="99" customWidth="1"/>
  </cols>
  <sheetData>
    <row r="1" ht="13.5" hidden="1"/>
    <row r="2" spans="1:3" ht="13.5" hidden="1">
      <c r="A2" s="100"/>
      <c r="B2" s="101"/>
      <c r="C2" s="101"/>
    </row>
    <row r="3" spans="1:3" ht="42" hidden="1">
      <c r="A3" s="100"/>
      <c r="B3" s="102"/>
      <c r="C3" s="102"/>
    </row>
    <row r="4" spans="1:3" ht="14.25" thickBot="1">
      <c r="A4" s="266" t="s">
        <v>220</v>
      </c>
      <c r="B4" s="266"/>
      <c r="C4" s="266"/>
    </row>
    <row r="5" spans="1:22" ht="15" customHeight="1" thickBot="1" thickTop="1">
      <c r="A5" s="130" t="s">
        <v>145</v>
      </c>
      <c r="B5" s="131" t="s">
        <v>76</v>
      </c>
      <c r="C5" s="103"/>
      <c r="E5" s="279" t="s">
        <v>83</v>
      </c>
      <c r="F5" s="279" t="s">
        <v>148</v>
      </c>
      <c r="M5" s="112"/>
      <c r="N5" s="112"/>
      <c r="O5" s="112"/>
      <c r="P5" s="112"/>
      <c r="Q5" s="112"/>
      <c r="R5" s="112"/>
      <c r="S5" s="112"/>
      <c r="T5" s="272">
        <f ca="1">TODAY()</f>
        <v>40749</v>
      </c>
      <c r="U5" s="272"/>
      <c r="V5" s="272"/>
    </row>
    <row r="6" spans="1:22" ht="18" customHeight="1" thickBot="1" thickTop="1">
      <c r="A6" s="275">
        <v>1</v>
      </c>
      <c r="B6" s="277">
        <v>3</v>
      </c>
      <c r="C6" s="104"/>
      <c r="E6" s="279"/>
      <c r="F6" s="279"/>
      <c r="M6" s="112"/>
      <c r="N6" s="112"/>
      <c r="O6" s="112"/>
      <c r="P6" s="112"/>
      <c r="Q6" s="112"/>
      <c r="R6" s="112"/>
      <c r="S6" s="112"/>
      <c r="T6" s="112"/>
      <c r="U6" s="112"/>
      <c r="V6" s="112"/>
    </row>
    <row r="7" spans="1:22" ht="20.25" customHeight="1" thickBot="1" thickTop="1">
      <c r="A7" s="276"/>
      <c r="B7" s="278"/>
      <c r="C7" s="104"/>
      <c r="E7" s="280">
        <f>VLOOKUP(A6,H9:I20,2)</f>
        <v>1</v>
      </c>
      <c r="F7" s="280">
        <f>VLOOKUP(A6,H9:J20,3)</f>
        <v>3</v>
      </c>
      <c r="M7" s="268" t="s">
        <v>0</v>
      </c>
      <c r="N7" s="268"/>
      <c r="O7" s="112"/>
      <c r="P7" s="112"/>
      <c r="Q7" s="112"/>
      <c r="R7" s="112"/>
      <c r="S7" s="112"/>
      <c r="T7" s="112"/>
      <c r="U7" s="112"/>
      <c r="V7" s="112"/>
    </row>
    <row r="8" spans="2:22" ht="18" customHeight="1" thickBot="1" thickTop="1">
      <c r="B8" s="267" t="s">
        <v>221</v>
      </c>
      <c r="C8" s="267"/>
      <c r="E8" s="280"/>
      <c r="F8" s="280"/>
      <c r="H8" s="105"/>
      <c r="I8" s="105" t="s">
        <v>147</v>
      </c>
      <c r="J8" s="105" t="s">
        <v>148</v>
      </c>
      <c r="M8" s="112"/>
      <c r="N8" s="112"/>
      <c r="O8" s="112"/>
      <c r="P8" s="112"/>
      <c r="Q8" s="112"/>
      <c r="R8" s="112"/>
      <c r="S8" s="112"/>
      <c r="T8" s="112"/>
      <c r="U8" s="112"/>
      <c r="V8" s="112"/>
    </row>
    <row r="9" spans="1:22" ht="15" customHeight="1" thickTop="1">
      <c r="A9" s="109"/>
      <c r="B9" s="109" t="s">
        <v>71</v>
      </c>
      <c r="C9" s="110" t="s">
        <v>146</v>
      </c>
      <c r="H9" s="105">
        <v>1</v>
      </c>
      <c r="I9" s="105">
        <v>1</v>
      </c>
      <c r="J9" s="105">
        <v>3</v>
      </c>
      <c r="M9" s="112"/>
      <c r="N9" s="112"/>
      <c r="O9" s="112"/>
      <c r="P9" s="112"/>
      <c r="Q9" s="112"/>
      <c r="R9" s="273" t="str">
        <f>'内容入力'!D3</f>
        <v>岩手県サッカー協会</v>
      </c>
      <c r="S9" s="273"/>
      <c r="T9" s="273"/>
      <c r="U9" s="273"/>
      <c r="V9" s="273"/>
    </row>
    <row r="10" spans="1:22" ht="18" customHeight="1">
      <c r="A10" s="109">
        <v>1</v>
      </c>
      <c r="B10" s="109" t="str">
        <f>HLOOKUP($E$7,'名簿入力'!$B$3:$AK$46,3)</f>
        <v>生徒</v>
      </c>
      <c r="C10" s="110" t="str">
        <f>HLOOKUP($F$7,'名簿入力'!$B$3:$AK$46,3)</f>
        <v>所属</v>
      </c>
      <c r="E10" s="99">
        <v>1</v>
      </c>
      <c r="F10" s="99" t="s">
        <v>73</v>
      </c>
      <c r="G10" s="106" t="s">
        <v>94</v>
      </c>
      <c r="H10" s="105">
        <v>2</v>
      </c>
      <c r="I10" s="105">
        <v>4</v>
      </c>
      <c r="J10" s="105">
        <v>6</v>
      </c>
      <c r="M10" s="112"/>
      <c r="N10" s="112"/>
      <c r="O10" s="112"/>
      <c r="P10" s="112"/>
      <c r="Q10" s="112"/>
      <c r="R10" s="273" t="str">
        <f>'内容入力'!D4</f>
        <v>会長</v>
      </c>
      <c r="S10" s="273"/>
      <c r="T10" s="112"/>
      <c r="U10" s="268" t="str">
        <f>'内容入力'!D5</f>
        <v>山本　光男</v>
      </c>
      <c r="V10" s="268"/>
    </row>
    <row r="11" spans="1:22" ht="18" customHeight="1">
      <c r="A11" s="109">
        <v>2</v>
      </c>
      <c r="B11" s="109" t="str">
        <f>HLOOKUP($E$7,'名簿入力'!$B$3:$AK$46,4)</f>
        <v>生徒（別紙名簿）</v>
      </c>
      <c r="C11" s="110">
        <f>HLOOKUP($F$7,'名簿入力'!$B$3:$AK$46,4)</f>
        <v>0</v>
      </c>
      <c r="E11" s="99">
        <v>2</v>
      </c>
      <c r="F11" s="99" t="s">
        <v>74</v>
      </c>
      <c r="G11" s="106" t="s">
        <v>94</v>
      </c>
      <c r="H11" s="105">
        <v>3</v>
      </c>
      <c r="I11" s="105">
        <v>7</v>
      </c>
      <c r="J11" s="105">
        <v>9</v>
      </c>
      <c r="M11" s="112"/>
      <c r="N11" s="112"/>
      <c r="O11" s="112"/>
      <c r="P11" s="112"/>
      <c r="Q11" s="112"/>
      <c r="R11" s="112"/>
      <c r="S11" s="112"/>
      <c r="T11" s="112"/>
      <c r="U11" s="268" t="str">
        <f>IF('内容入力'!D6="公印なし","（公印省略）","")</f>
        <v>（公印省略）</v>
      </c>
      <c r="V11" s="268"/>
    </row>
    <row r="12" spans="1:22" ht="18" customHeight="1">
      <c r="A12" s="109">
        <v>3</v>
      </c>
      <c r="B12" s="109" t="str">
        <f>HLOOKUP($E$7,'名簿入力'!$B$3:$AK$46,5)</f>
        <v>柴田尚生</v>
      </c>
      <c r="C12" s="110">
        <f>HLOOKUP($F$7,'名簿入力'!$B$3:$AK$46,5)</f>
        <v>0</v>
      </c>
      <c r="D12" s="99" t="s">
        <v>80</v>
      </c>
      <c r="E12" s="99">
        <v>3</v>
      </c>
      <c r="F12" s="99" t="str">
        <f>B12&amp;D12</f>
        <v>柴田尚生君</v>
      </c>
      <c r="G12" s="99" t="str">
        <f>B12&amp;D12</f>
        <v>柴田尚生君</v>
      </c>
      <c r="H12" s="105">
        <v>4</v>
      </c>
      <c r="I12" s="105">
        <v>10</v>
      </c>
      <c r="J12" s="105">
        <v>12</v>
      </c>
      <c r="M12" s="112"/>
      <c r="N12" s="112"/>
      <c r="O12" s="112"/>
      <c r="P12" s="112"/>
      <c r="Q12" s="112"/>
      <c r="R12" s="112"/>
      <c r="S12" s="112"/>
      <c r="T12" s="112"/>
      <c r="U12" s="112"/>
      <c r="V12" s="112"/>
    </row>
    <row r="13" spans="1:22" ht="18" customHeight="1">
      <c r="A13" s="109">
        <v>4</v>
      </c>
      <c r="B13" s="109">
        <f>HLOOKUP($E$7,'名簿入力'!$B$3:$AK$46,6)</f>
        <v>0</v>
      </c>
      <c r="C13" s="110">
        <f>HLOOKUP($F$7,'名簿入力'!$B$3:$AK$46,6)</f>
        <v>0</v>
      </c>
      <c r="D13" s="99" t="s">
        <v>80</v>
      </c>
      <c r="E13" s="99">
        <v>4</v>
      </c>
      <c r="F13" s="99" t="str">
        <f>B13&amp;D13</f>
        <v>0君</v>
      </c>
      <c r="G13" s="99" t="str">
        <f aca="true" t="shared" si="0" ref="G13:G52">B13&amp;D13</f>
        <v>0君</v>
      </c>
      <c r="H13" s="105">
        <v>5</v>
      </c>
      <c r="I13" s="105">
        <v>13</v>
      </c>
      <c r="J13" s="105">
        <v>15</v>
      </c>
      <c r="M13" s="112"/>
      <c r="N13" s="268" t="str">
        <f>IF('内容入力'!D7="","",'内容入力'!D7&amp;"について（派遣依頼）")</f>
        <v>岩手県トレセンマッチへの参加について（派遣依頼）</v>
      </c>
      <c r="O13" s="268"/>
      <c r="P13" s="268"/>
      <c r="Q13" s="268"/>
      <c r="R13" s="268"/>
      <c r="S13" s="268"/>
      <c r="T13" s="268"/>
      <c r="U13" s="268"/>
      <c r="V13" s="112"/>
    </row>
    <row r="14" spans="1:22" ht="18" customHeight="1">
      <c r="A14" s="109">
        <v>5</v>
      </c>
      <c r="B14" s="109">
        <f>HLOOKUP($E$7,'名簿入力'!$B$3:$AK$46,7)</f>
        <v>0</v>
      </c>
      <c r="C14" s="110">
        <f>HLOOKUP($F$7,'名簿入力'!$B$3:$AK$46,7)</f>
        <v>0</v>
      </c>
      <c r="D14" s="99" t="s">
        <v>80</v>
      </c>
      <c r="E14" s="99">
        <v>5</v>
      </c>
      <c r="F14" s="99" t="str">
        <f aca="true" t="shared" si="1" ref="F14:F52">B14&amp;D14</f>
        <v>0君</v>
      </c>
      <c r="G14" s="99" t="str">
        <f t="shared" si="0"/>
        <v>0君</v>
      </c>
      <c r="H14" s="105">
        <v>6</v>
      </c>
      <c r="I14" s="105">
        <v>16</v>
      </c>
      <c r="J14" s="105">
        <v>18</v>
      </c>
      <c r="M14" s="112"/>
      <c r="N14" s="112"/>
      <c r="O14" s="112"/>
      <c r="P14" s="112"/>
      <c r="Q14" s="112"/>
      <c r="R14" s="112"/>
      <c r="S14" s="112"/>
      <c r="T14" s="112"/>
      <c r="U14" s="112"/>
      <c r="V14" s="112"/>
    </row>
    <row r="15" spans="1:22" ht="18" customHeight="1">
      <c r="A15" s="109">
        <v>6</v>
      </c>
      <c r="B15" s="109">
        <f>HLOOKUP($E$7,'名簿入力'!$B$3:$AK$46,8)</f>
        <v>0</v>
      </c>
      <c r="C15" s="110">
        <f>HLOOKUP($F$7,'名簿入力'!$B$3:$AK$46,8)</f>
        <v>0</v>
      </c>
      <c r="D15" s="99" t="s">
        <v>80</v>
      </c>
      <c r="E15" s="99">
        <v>6</v>
      </c>
      <c r="F15" s="99" t="str">
        <f t="shared" si="1"/>
        <v>0君</v>
      </c>
      <c r="G15" s="99" t="str">
        <f t="shared" si="0"/>
        <v>0君</v>
      </c>
      <c r="H15" s="105">
        <v>7</v>
      </c>
      <c r="I15" s="105">
        <v>19</v>
      </c>
      <c r="J15" s="105">
        <v>21</v>
      </c>
      <c r="M15" s="270" t="str">
        <f>VLOOKUP('内容入力'!S6,'内容入力'!R7:S18,2)&amp;'内容入力'!R19</f>
        <v>　盛夏の候、皆様におかれましてはますますご健勝のこととお慶び申し上げます。</v>
      </c>
      <c r="N15" s="270"/>
      <c r="O15" s="270"/>
      <c r="P15" s="270"/>
      <c r="Q15" s="270"/>
      <c r="R15" s="270"/>
      <c r="S15" s="270"/>
      <c r="T15" s="270"/>
      <c r="U15" s="270"/>
      <c r="V15" s="270"/>
    </row>
    <row r="16" spans="1:22" ht="18" customHeight="1">
      <c r="A16" s="109">
        <v>7</v>
      </c>
      <c r="B16" s="109">
        <f>HLOOKUP($E$7,'名簿入力'!$B$3:$AK$46,9)</f>
        <v>0</v>
      </c>
      <c r="C16" s="110">
        <f>HLOOKUP($F$7,'名簿入力'!$B$3:$AK$46,9)</f>
        <v>0</v>
      </c>
      <c r="D16" s="99" t="s">
        <v>80</v>
      </c>
      <c r="E16" s="99">
        <v>7</v>
      </c>
      <c r="F16" s="99" t="str">
        <f t="shared" si="1"/>
        <v>0君</v>
      </c>
      <c r="G16" s="99" t="str">
        <f t="shared" si="0"/>
        <v>0君</v>
      </c>
      <c r="H16" s="105">
        <v>8</v>
      </c>
      <c r="I16" s="105">
        <v>22</v>
      </c>
      <c r="J16" s="105">
        <v>24</v>
      </c>
      <c r="M16" s="270" t="s">
        <v>24</v>
      </c>
      <c r="N16" s="270"/>
      <c r="O16" s="270"/>
      <c r="P16" s="270"/>
      <c r="Q16" s="270"/>
      <c r="R16" s="270"/>
      <c r="S16" s="270"/>
      <c r="T16" s="270"/>
      <c r="U16" s="270"/>
      <c r="V16" s="270"/>
    </row>
    <row r="17" spans="1:22" ht="18" customHeight="1">
      <c r="A17" s="109">
        <v>8</v>
      </c>
      <c r="B17" s="109">
        <f>HLOOKUP($E$7,'名簿入力'!$B$3:$AK$46,10)</f>
        <v>0</v>
      </c>
      <c r="C17" s="110">
        <f>HLOOKUP($F$7,'名簿入力'!$B$3:$AK$46,10)</f>
        <v>0</v>
      </c>
      <c r="D17" s="99" t="s">
        <v>80</v>
      </c>
      <c r="E17" s="99">
        <v>8</v>
      </c>
      <c r="F17" s="99" t="str">
        <f t="shared" si="1"/>
        <v>0君</v>
      </c>
      <c r="G17" s="99" t="str">
        <f t="shared" si="0"/>
        <v>0君</v>
      </c>
      <c r="H17" s="105">
        <v>9</v>
      </c>
      <c r="I17" s="105">
        <v>25</v>
      </c>
      <c r="J17" s="105">
        <v>27</v>
      </c>
      <c r="M17" s="112" t="s">
        <v>61</v>
      </c>
      <c r="N17" s="112"/>
      <c r="O17" s="112"/>
      <c r="P17" s="112"/>
      <c r="Q17" s="112"/>
      <c r="R17" s="112"/>
      <c r="S17" s="112"/>
      <c r="T17" s="112"/>
      <c r="U17" s="112"/>
      <c r="V17" s="112"/>
    </row>
    <row r="18" spans="1:22" ht="17.25" customHeight="1">
      <c r="A18" s="109">
        <v>9</v>
      </c>
      <c r="B18" s="109">
        <f>HLOOKUP($E$7,'名簿入力'!$B$3:$AK$46,11)</f>
        <v>0</v>
      </c>
      <c r="C18" s="110">
        <f>HLOOKUP($F$7,'名簿入力'!$B$3:$AK$46,11)</f>
        <v>0</v>
      </c>
      <c r="D18" s="99" t="s">
        <v>80</v>
      </c>
      <c r="E18" s="99">
        <v>9</v>
      </c>
      <c r="F18" s="99" t="str">
        <f t="shared" si="1"/>
        <v>0君</v>
      </c>
      <c r="G18" s="99" t="str">
        <f t="shared" si="0"/>
        <v>0君</v>
      </c>
      <c r="H18" s="105">
        <v>10</v>
      </c>
      <c r="I18" s="105">
        <v>28</v>
      </c>
      <c r="J18" s="105">
        <v>30</v>
      </c>
      <c r="M18" s="274" t="str">
        <f>IF(タイトル!A48=48,A58&amp;VLOOKUP(B6,E10:G52,3)&amp;A59,'名簿入力'!A48)</f>
        <v>　つきましては、ご子息　柴田尚生君の参加につきまして特段のご配慮を賜りますようお願いいたします。</v>
      </c>
      <c r="N18" s="274"/>
      <c r="O18" s="274"/>
      <c r="P18" s="274"/>
      <c r="Q18" s="274"/>
      <c r="R18" s="274"/>
      <c r="S18" s="274"/>
      <c r="T18" s="274"/>
      <c r="U18" s="274"/>
      <c r="V18" s="274"/>
    </row>
    <row r="19" spans="1:22" ht="17.25" customHeight="1">
      <c r="A19" s="109">
        <v>10</v>
      </c>
      <c r="B19" s="109">
        <f>HLOOKUP($E$7,'名簿入力'!$B$3:$AK$46,12)</f>
        <v>0</v>
      </c>
      <c r="C19" s="110">
        <f>HLOOKUP($F$7,'名簿入力'!$B$3:$AK$46,12)</f>
        <v>0</v>
      </c>
      <c r="D19" s="99" t="s">
        <v>80</v>
      </c>
      <c r="E19" s="99">
        <v>10</v>
      </c>
      <c r="F19" s="99" t="str">
        <f t="shared" si="1"/>
        <v>0君</v>
      </c>
      <c r="G19" s="99" t="str">
        <f t="shared" si="0"/>
        <v>0君</v>
      </c>
      <c r="H19" s="105">
        <v>11</v>
      </c>
      <c r="I19" s="105">
        <v>31</v>
      </c>
      <c r="J19" s="105">
        <v>33</v>
      </c>
      <c r="M19" s="274"/>
      <c r="N19" s="274"/>
      <c r="O19" s="274"/>
      <c r="P19" s="274"/>
      <c r="Q19" s="274"/>
      <c r="R19" s="274"/>
      <c r="S19" s="274"/>
      <c r="T19" s="274"/>
      <c r="U19" s="274"/>
      <c r="V19" s="274"/>
    </row>
    <row r="20" spans="1:22" ht="18" customHeight="1">
      <c r="A20" s="109">
        <v>11</v>
      </c>
      <c r="B20" s="109">
        <f>HLOOKUP($E$7,'名簿入力'!$B$3:$AK$46,13)</f>
        <v>0</v>
      </c>
      <c r="C20" s="110">
        <f>HLOOKUP($F$7,'名簿入力'!$B$3:$AK$46,13)</f>
        <v>0</v>
      </c>
      <c r="D20" s="99" t="s">
        <v>80</v>
      </c>
      <c r="E20" s="99">
        <v>11</v>
      </c>
      <c r="F20" s="99" t="str">
        <f t="shared" si="1"/>
        <v>0君</v>
      </c>
      <c r="G20" s="99" t="str">
        <f t="shared" si="0"/>
        <v>0君</v>
      </c>
      <c r="H20" s="105">
        <v>12</v>
      </c>
      <c r="I20" s="105">
        <v>34</v>
      </c>
      <c r="J20" s="105">
        <v>36</v>
      </c>
      <c r="M20" s="269" t="s">
        <v>21</v>
      </c>
      <c r="N20" s="269"/>
      <c r="O20" s="269"/>
      <c r="P20" s="269"/>
      <c r="Q20" s="269"/>
      <c r="R20" s="269"/>
      <c r="S20" s="269"/>
      <c r="T20" s="269"/>
      <c r="U20" s="269"/>
      <c r="V20" s="269"/>
    </row>
    <row r="21" spans="1:22" ht="18" customHeight="1">
      <c r="A21" s="109">
        <v>12</v>
      </c>
      <c r="B21" s="109">
        <f>HLOOKUP($E$7,'名簿入力'!$B$3:$AK$46,14)</f>
        <v>0</v>
      </c>
      <c r="C21" s="110">
        <f>HLOOKUP($F$7,'名簿入力'!$B$3:$AK$46,14)</f>
        <v>0</v>
      </c>
      <c r="D21" s="99" t="s">
        <v>80</v>
      </c>
      <c r="E21" s="99">
        <v>12</v>
      </c>
      <c r="F21" s="99" t="str">
        <f t="shared" si="1"/>
        <v>0君</v>
      </c>
      <c r="G21" s="99" t="str">
        <f t="shared" si="0"/>
        <v>0君</v>
      </c>
      <c r="M21" s="112"/>
      <c r="N21" s="112"/>
      <c r="O21" s="112"/>
      <c r="P21" s="112"/>
      <c r="Q21" s="112"/>
      <c r="R21" s="112"/>
      <c r="S21" s="112"/>
      <c r="T21" s="112"/>
      <c r="U21" s="112"/>
      <c r="V21" s="112"/>
    </row>
    <row r="22" spans="1:22" ht="18" customHeight="1">
      <c r="A22" s="109">
        <v>13</v>
      </c>
      <c r="B22" s="109">
        <f>HLOOKUP($E$7,'名簿入力'!$B$3:$AK$46,15)</f>
        <v>0</v>
      </c>
      <c r="C22" s="110">
        <f>HLOOKUP($F$7,'名簿入力'!$B$3:$AK$46,15)</f>
        <v>0</v>
      </c>
      <c r="D22" s="99" t="s">
        <v>80</v>
      </c>
      <c r="E22" s="99">
        <v>13</v>
      </c>
      <c r="F22" s="99" t="str">
        <f t="shared" si="1"/>
        <v>0君</v>
      </c>
      <c r="G22" s="99" t="str">
        <f t="shared" si="0"/>
        <v>0君</v>
      </c>
      <c r="M22" s="113" t="s">
        <v>29</v>
      </c>
      <c r="N22" s="112" t="s">
        <v>25</v>
      </c>
      <c r="O22" s="269">
        <f>'内容入力'!D8</f>
        <v>0</v>
      </c>
      <c r="P22" s="269"/>
      <c r="Q22" s="269"/>
      <c r="R22" s="112"/>
      <c r="S22" s="114">
        <f>'内容入力'!D10</f>
        <v>0</v>
      </c>
      <c r="T22" s="115" t="s">
        <v>34</v>
      </c>
      <c r="U22" s="114">
        <f>IF('内容入力'!P9&gt;1,"",'内容入力'!D11)</f>
        <v>0</v>
      </c>
      <c r="V22" s="112"/>
    </row>
    <row r="23" spans="1:22" ht="18" customHeight="1">
      <c r="A23" s="109">
        <v>14</v>
      </c>
      <c r="B23" s="109">
        <f>HLOOKUP($E$7,'名簿入力'!$B$3:$AK$46,16)</f>
        <v>0</v>
      </c>
      <c r="C23" s="110">
        <f>HLOOKUP($F$7,'名簿入力'!$B$3:$AK$46,16)</f>
        <v>0</v>
      </c>
      <c r="D23" s="99" t="s">
        <v>80</v>
      </c>
      <c r="E23" s="99">
        <v>14</v>
      </c>
      <c r="F23" s="99" t="str">
        <f t="shared" si="1"/>
        <v>0君</v>
      </c>
      <c r="G23" s="99" t="str">
        <f t="shared" si="0"/>
        <v>0君</v>
      </c>
      <c r="M23" s="113"/>
      <c r="N23" s="112"/>
      <c r="O23" s="269">
        <f>IF('内容入力'!P9&gt;1,'内容入力'!D9,"")</f>
      </c>
      <c r="P23" s="269"/>
      <c r="Q23" s="269"/>
      <c r="R23" s="112"/>
      <c r="S23" s="114">
        <f>IF('内容入力'!P9&gt;1,'内容入力'!D12,"")</f>
      </c>
      <c r="T23" s="115"/>
      <c r="U23" s="112"/>
      <c r="V23" s="112"/>
    </row>
    <row r="24" spans="1:22" ht="18" customHeight="1">
      <c r="A24" s="109">
        <v>15</v>
      </c>
      <c r="B24" s="109">
        <f>HLOOKUP($E$7,'名簿入力'!$B$3:$AK$46,17)</f>
        <v>0</v>
      </c>
      <c r="C24" s="110">
        <f>HLOOKUP($F$7,'名簿入力'!$B$3:$AK$46,17)</f>
        <v>0</v>
      </c>
      <c r="D24" s="99" t="s">
        <v>80</v>
      </c>
      <c r="E24" s="99">
        <v>15</v>
      </c>
      <c r="F24" s="99" t="str">
        <f t="shared" si="1"/>
        <v>0君</v>
      </c>
      <c r="G24" s="99" t="str">
        <f t="shared" si="0"/>
        <v>0君</v>
      </c>
      <c r="M24" s="113" t="s">
        <v>30</v>
      </c>
      <c r="N24" s="112" t="s">
        <v>26</v>
      </c>
      <c r="O24" s="270">
        <f>'内容入力'!D13</f>
        <v>0</v>
      </c>
      <c r="P24" s="270"/>
      <c r="Q24" s="270"/>
      <c r="R24" s="270"/>
      <c r="S24" s="270"/>
      <c r="T24" s="270"/>
      <c r="U24" s="270"/>
      <c r="V24" s="270"/>
    </row>
    <row r="25" spans="1:22" ht="18" customHeight="1">
      <c r="A25" s="109">
        <v>16</v>
      </c>
      <c r="B25" s="109">
        <f>HLOOKUP($E$7,'名簿入力'!$B$3:$AK$46,18)</f>
        <v>0</v>
      </c>
      <c r="C25" s="110">
        <f>HLOOKUP($F$7,'名簿入力'!$B$3:$AK$46,18)</f>
        <v>0</v>
      </c>
      <c r="D25" s="99" t="s">
        <v>80</v>
      </c>
      <c r="E25" s="99">
        <v>16</v>
      </c>
      <c r="F25" s="99" t="str">
        <f t="shared" si="1"/>
        <v>0君</v>
      </c>
      <c r="G25" s="99" t="str">
        <f t="shared" si="0"/>
        <v>0君</v>
      </c>
      <c r="M25" s="113"/>
      <c r="N25" s="112"/>
      <c r="O25" s="115"/>
      <c r="P25" s="271"/>
      <c r="Q25" s="271"/>
      <c r="R25" s="271"/>
      <c r="S25" s="271"/>
      <c r="T25" s="112"/>
      <c r="U25" s="112"/>
      <c r="V25" s="112"/>
    </row>
    <row r="26" spans="1:22" ht="18" customHeight="1">
      <c r="A26" s="109">
        <v>17</v>
      </c>
      <c r="B26" s="109">
        <f>HLOOKUP($E$7,'名簿入力'!$B$3:$AK$46,19)</f>
        <v>0</v>
      </c>
      <c r="C26" s="110">
        <f>HLOOKUP($F$7,'名簿入力'!$B$3:$AK$46,19)</f>
        <v>0</v>
      </c>
      <c r="D26" s="99" t="s">
        <v>80</v>
      </c>
      <c r="E26" s="99">
        <v>17</v>
      </c>
      <c r="F26" s="99" t="str">
        <f t="shared" si="1"/>
        <v>0君</v>
      </c>
      <c r="G26" s="99" t="str">
        <f t="shared" si="0"/>
        <v>0君</v>
      </c>
      <c r="M26" s="113" t="s">
        <v>31</v>
      </c>
      <c r="N26" s="112" t="s">
        <v>28</v>
      </c>
      <c r="O26" s="270">
        <f>'内容入力'!D14</f>
        <v>0</v>
      </c>
      <c r="P26" s="270"/>
      <c r="Q26" s="270"/>
      <c r="R26" s="270"/>
      <c r="S26" s="270"/>
      <c r="T26" s="270"/>
      <c r="U26" s="270"/>
      <c r="V26" s="270"/>
    </row>
    <row r="27" spans="1:22" ht="18" customHeight="1">
      <c r="A27" s="109">
        <v>18</v>
      </c>
      <c r="B27" s="109">
        <f>HLOOKUP($E$7,'名簿入力'!$B$3:$AK$46,20)</f>
        <v>0</v>
      </c>
      <c r="C27" s="110">
        <f>HLOOKUP($F$7,'名簿入力'!$B$3:$AK$46,20)</f>
        <v>0</v>
      </c>
      <c r="D27" s="99" t="s">
        <v>80</v>
      </c>
      <c r="E27" s="99">
        <v>18</v>
      </c>
      <c r="F27" s="99" t="str">
        <f t="shared" si="1"/>
        <v>0君</v>
      </c>
      <c r="G27" s="99" t="str">
        <f t="shared" si="0"/>
        <v>0君</v>
      </c>
      <c r="M27" s="113"/>
      <c r="N27" s="112"/>
      <c r="O27" s="112"/>
      <c r="P27" s="112"/>
      <c r="Q27" s="112"/>
      <c r="R27" s="112"/>
      <c r="S27" s="112"/>
      <c r="T27" s="112"/>
      <c r="U27" s="112"/>
      <c r="V27" s="112"/>
    </row>
    <row r="28" spans="1:22" ht="18" customHeight="1">
      <c r="A28" s="109">
        <v>19</v>
      </c>
      <c r="B28" s="109">
        <f>HLOOKUP($E$7,'名簿入力'!$B$3:$AK$46,21)</f>
        <v>0</v>
      </c>
      <c r="C28" s="110">
        <f>HLOOKUP($F$7,'名簿入力'!$B$3:$AK$46,21)</f>
        <v>0</v>
      </c>
      <c r="D28" s="99" t="s">
        <v>80</v>
      </c>
      <c r="E28" s="99">
        <v>19</v>
      </c>
      <c r="F28" s="99" t="str">
        <f t="shared" si="1"/>
        <v>0君</v>
      </c>
      <c r="G28" s="99" t="str">
        <f t="shared" si="0"/>
        <v>0君</v>
      </c>
      <c r="M28" s="113" t="s">
        <v>32</v>
      </c>
      <c r="N28" s="112" t="s">
        <v>27</v>
      </c>
      <c r="O28" s="270">
        <f>'内容入力'!D15</f>
        <v>0</v>
      </c>
      <c r="P28" s="270"/>
      <c r="Q28" s="270"/>
      <c r="R28" s="270"/>
      <c r="S28" s="270"/>
      <c r="T28" s="270"/>
      <c r="U28" s="270"/>
      <c r="V28" s="270"/>
    </row>
    <row r="29" spans="1:22" ht="18" customHeight="1">
      <c r="A29" s="109">
        <v>20</v>
      </c>
      <c r="B29" s="109">
        <f>HLOOKUP($E$7,'名簿入力'!$B$3:$AK$46,22)</f>
        <v>0</v>
      </c>
      <c r="C29" s="110">
        <f>HLOOKUP($F$7,'名簿入力'!$B$3:$AK$46,22)</f>
        <v>0</v>
      </c>
      <c r="D29" s="99" t="s">
        <v>80</v>
      </c>
      <c r="E29" s="99">
        <v>20</v>
      </c>
      <c r="F29" s="99" t="str">
        <f t="shared" si="1"/>
        <v>0君</v>
      </c>
      <c r="G29" s="99" t="str">
        <f t="shared" si="0"/>
        <v>0君</v>
      </c>
      <c r="M29" s="113"/>
      <c r="N29" s="112"/>
      <c r="O29" s="112"/>
      <c r="P29" s="112"/>
      <c r="Q29" s="112"/>
      <c r="R29" s="112"/>
      <c r="S29" s="112"/>
      <c r="T29" s="112"/>
      <c r="U29" s="112"/>
      <c r="V29" s="112"/>
    </row>
    <row r="30" spans="1:22" ht="18" customHeight="1">
      <c r="A30" s="109">
        <v>21</v>
      </c>
      <c r="B30" s="109">
        <f>HLOOKUP($E$7,'名簿入力'!$B$3:$AK$46,23)</f>
        <v>0</v>
      </c>
      <c r="C30" s="110">
        <f>HLOOKUP($F$7,'名簿入力'!$B$3:$AK$46,23)</f>
        <v>0</v>
      </c>
      <c r="D30" s="99" t="s">
        <v>80</v>
      </c>
      <c r="E30" s="99">
        <v>21</v>
      </c>
      <c r="F30" s="99" t="str">
        <f t="shared" si="1"/>
        <v>0君</v>
      </c>
      <c r="G30" s="99" t="str">
        <f t="shared" si="0"/>
        <v>0君</v>
      </c>
      <c r="M30" s="113" t="s">
        <v>33</v>
      </c>
      <c r="N30" s="112" t="s">
        <v>38</v>
      </c>
      <c r="O30" s="297">
        <f>IF('内容入力'!D17="有料",'内容入力'!F17,"無料")</f>
        <v>1000</v>
      </c>
      <c r="P30" s="297"/>
      <c r="Q30" s="116" t="str">
        <f>IF('内容入力'!D17="有料","円（","")</f>
        <v>円（</v>
      </c>
      <c r="R30" s="296" t="str">
        <f>IF('内容入力'!D17="有料",'内容入力'!D18,"")</f>
        <v>飲料代、保険料</v>
      </c>
      <c r="S30" s="296"/>
      <c r="T30" s="296"/>
      <c r="U30" s="296"/>
      <c r="V30" s="112" t="str">
        <f>IF('内容入力'!D17="有料","）","")</f>
        <v>）</v>
      </c>
    </row>
    <row r="31" spans="1:22" ht="18" customHeight="1">
      <c r="A31" s="109">
        <v>22</v>
      </c>
      <c r="B31" s="109">
        <f>HLOOKUP($E$7,'名簿入力'!$B$3:$AK$46,24)</f>
        <v>0</v>
      </c>
      <c r="C31" s="110">
        <f>HLOOKUP($F$7,'名簿入力'!$B$3:$AK$46,24)</f>
        <v>0</v>
      </c>
      <c r="D31" s="99" t="s">
        <v>80</v>
      </c>
      <c r="E31" s="99">
        <v>22</v>
      </c>
      <c r="F31" s="99" t="str">
        <f t="shared" si="1"/>
        <v>0君</v>
      </c>
      <c r="G31" s="99" t="str">
        <f t="shared" si="0"/>
        <v>0君</v>
      </c>
      <c r="M31" s="112"/>
      <c r="N31" s="112"/>
      <c r="O31" s="117"/>
      <c r="P31" s="112"/>
      <c r="Q31" s="118"/>
      <c r="R31" s="118"/>
      <c r="S31" s="118"/>
      <c r="T31" s="118"/>
      <c r="U31" s="112"/>
      <c r="V31" s="112"/>
    </row>
    <row r="32" spans="1:22" ht="18" customHeight="1">
      <c r="A32" s="109">
        <v>23</v>
      </c>
      <c r="B32" s="109">
        <f>HLOOKUP($E$7,'名簿入力'!$B$3:$AK$46,25)</f>
        <v>0</v>
      </c>
      <c r="C32" s="110">
        <f>HLOOKUP($F$7,'名簿入力'!$B$3:$AK$46,25)</f>
        <v>0</v>
      </c>
      <c r="D32" s="99" t="s">
        <v>80</v>
      </c>
      <c r="E32" s="99">
        <v>23</v>
      </c>
      <c r="F32" s="99" t="str">
        <f t="shared" si="1"/>
        <v>0君</v>
      </c>
      <c r="G32" s="99" t="str">
        <f t="shared" si="0"/>
        <v>0君</v>
      </c>
      <c r="M32" s="113" t="s">
        <v>37</v>
      </c>
      <c r="N32" s="112" t="s">
        <v>23</v>
      </c>
      <c r="O32" s="268" t="str">
        <f>'内容入力'!D19</f>
        <v>柴田尚生</v>
      </c>
      <c r="P32" s="268"/>
      <c r="Q32" s="288" t="str">
        <f>IF('内容入力'!P19&gt;1,"（"&amp;'内容入力'!F19&amp;"）","")</f>
        <v>（和賀西中学校）</v>
      </c>
      <c r="R32" s="288"/>
      <c r="S32" s="288"/>
      <c r="T32" s="118"/>
      <c r="U32" s="118"/>
      <c r="V32" s="118"/>
    </row>
    <row r="33" spans="1:22" ht="18" customHeight="1">
      <c r="A33" s="109">
        <v>24</v>
      </c>
      <c r="B33" s="109">
        <f>HLOOKUP($E$7,'名簿入力'!$B$3:$AK$46,26)</f>
        <v>0</v>
      </c>
      <c r="C33" s="110">
        <f>HLOOKUP($F$7,'名簿入力'!$B$3:$AK$46,26)</f>
        <v>0</v>
      </c>
      <c r="D33" s="99" t="s">
        <v>80</v>
      </c>
      <c r="E33" s="99">
        <v>24</v>
      </c>
      <c r="F33" s="99" t="str">
        <f t="shared" si="1"/>
        <v>0君</v>
      </c>
      <c r="G33" s="99" t="str">
        <f t="shared" si="0"/>
        <v>0君</v>
      </c>
      <c r="M33" s="112"/>
      <c r="N33" s="112"/>
      <c r="O33" s="268">
        <f>'内容入力'!D20</f>
        <v>0</v>
      </c>
      <c r="P33" s="268"/>
      <c r="Q33" s="288">
        <f>IF('内容入力'!P20&gt;1,"（"&amp;'内容入力'!F20&amp;"）","")</f>
      </c>
      <c r="R33" s="288"/>
      <c r="S33" s="288"/>
      <c r="T33" s="118"/>
      <c r="U33" s="118"/>
      <c r="V33" s="118"/>
    </row>
    <row r="34" spans="1:22" ht="18" customHeight="1">
      <c r="A34" s="109">
        <v>25</v>
      </c>
      <c r="B34" s="109">
        <f>HLOOKUP($E$7,'名簿入力'!$B$3:$AK$46,27)</f>
        <v>0</v>
      </c>
      <c r="C34" s="110">
        <f>HLOOKUP($F$7,'名簿入力'!$B$3:$AK$46,27)</f>
        <v>0</v>
      </c>
      <c r="D34" s="99" t="s">
        <v>80</v>
      </c>
      <c r="E34" s="99">
        <v>25</v>
      </c>
      <c r="F34" s="99" t="str">
        <f t="shared" si="1"/>
        <v>0君</v>
      </c>
      <c r="G34" s="99" t="str">
        <f t="shared" si="0"/>
        <v>0君</v>
      </c>
      <c r="M34" s="112"/>
      <c r="N34" s="112"/>
      <c r="O34" s="268">
        <f>'内容入力'!D21</f>
        <v>0</v>
      </c>
      <c r="P34" s="268"/>
      <c r="Q34" s="288">
        <f>IF('内容入力'!P21&gt;1,"（"&amp;'内容入力'!F21&amp;"）","")</f>
      </c>
      <c r="R34" s="288"/>
      <c r="S34" s="288"/>
      <c r="T34" s="118"/>
      <c r="U34" s="118"/>
      <c r="V34" s="118"/>
    </row>
    <row r="35" spans="1:22" ht="18" customHeight="1">
      <c r="A35" s="109">
        <v>26</v>
      </c>
      <c r="B35" s="109">
        <f>HLOOKUP($E$7,'名簿入力'!$B$3:$AK$46,28)</f>
        <v>0</v>
      </c>
      <c r="C35" s="110">
        <f>HLOOKUP($F$7,'名簿入力'!$B$3:$AK$46,28)</f>
        <v>0</v>
      </c>
      <c r="D35" s="99" t="s">
        <v>80</v>
      </c>
      <c r="E35" s="99">
        <v>26</v>
      </c>
      <c r="F35" s="99" t="str">
        <f t="shared" si="1"/>
        <v>0君</v>
      </c>
      <c r="G35" s="99" t="str">
        <f t="shared" si="0"/>
        <v>0君</v>
      </c>
      <c r="M35" s="112"/>
      <c r="N35" s="112"/>
      <c r="O35" s="268">
        <f>'内容入力'!D22</f>
        <v>0</v>
      </c>
      <c r="P35" s="268"/>
      <c r="Q35" s="288">
        <f>IF('内容入力'!P22&gt;1,"（"&amp;'内容入力'!F22&amp;"）","")</f>
      </c>
      <c r="R35" s="288"/>
      <c r="S35" s="288"/>
      <c r="T35" s="118"/>
      <c r="U35" s="118"/>
      <c r="V35" s="118"/>
    </row>
    <row r="36" spans="1:22" ht="18" customHeight="1">
      <c r="A36" s="109">
        <v>27</v>
      </c>
      <c r="B36" s="109">
        <f>HLOOKUP($E$7,'名簿入力'!$B$3:$AK$46,29)</f>
        <v>0</v>
      </c>
      <c r="C36" s="110">
        <f>HLOOKUP($F$7,'名簿入力'!$B$3:$AK$46,29)</f>
        <v>0</v>
      </c>
      <c r="D36" s="99" t="s">
        <v>80</v>
      </c>
      <c r="E36" s="99">
        <v>27</v>
      </c>
      <c r="F36" s="99" t="str">
        <f t="shared" si="1"/>
        <v>0君</v>
      </c>
      <c r="G36" s="99" t="str">
        <f t="shared" si="0"/>
        <v>0君</v>
      </c>
      <c r="M36" s="112"/>
      <c r="N36" s="112"/>
      <c r="O36" s="268">
        <f>'内容入力'!D23</f>
        <v>0</v>
      </c>
      <c r="P36" s="268"/>
      <c r="Q36" s="298">
        <f>IF('内容入力'!P23&gt;1,"（"&amp;'内容入力'!F23&amp;"）","")</f>
      </c>
      <c r="R36" s="298"/>
      <c r="S36" s="298"/>
      <c r="T36" s="118"/>
      <c r="U36" s="118"/>
      <c r="V36" s="118"/>
    </row>
    <row r="37" spans="1:22" ht="18" customHeight="1">
      <c r="A37" s="109">
        <v>28</v>
      </c>
      <c r="B37" s="109">
        <f>HLOOKUP($E$7,'名簿入力'!$B$3:$AK$46,30)</f>
        <v>0</v>
      </c>
      <c r="C37" s="110">
        <f>HLOOKUP($F$7,'名簿入力'!$B$3:$AK$46,30)</f>
        <v>0</v>
      </c>
      <c r="D37" s="99" t="s">
        <v>80</v>
      </c>
      <c r="E37" s="99">
        <v>28</v>
      </c>
      <c r="F37" s="99" t="str">
        <f t="shared" si="1"/>
        <v>0君</v>
      </c>
      <c r="G37" s="99" t="str">
        <f t="shared" si="0"/>
        <v>0君</v>
      </c>
      <c r="M37" s="112"/>
      <c r="N37" s="112"/>
      <c r="O37" s="112"/>
      <c r="P37" s="112"/>
      <c r="Q37" s="119" t="s">
        <v>46</v>
      </c>
      <c r="R37" s="285">
        <f>'内容入力'!D24</f>
        <v>0</v>
      </c>
      <c r="S37" s="285"/>
      <c r="T37" s="285"/>
      <c r="U37" s="286"/>
      <c r="V37" s="287"/>
    </row>
    <row r="38" spans="1:22" ht="18" customHeight="1">
      <c r="A38" s="109">
        <v>29</v>
      </c>
      <c r="B38" s="109">
        <f>HLOOKUP($E$7,'名簿入力'!$B$3:$AK$46,31)</f>
        <v>0</v>
      </c>
      <c r="C38" s="110">
        <f>HLOOKUP($F$7,'名簿入力'!$B$3:$AK$46,31)</f>
        <v>0</v>
      </c>
      <c r="D38" s="99" t="s">
        <v>80</v>
      </c>
      <c r="E38" s="99">
        <v>29</v>
      </c>
      <c r="F38" s="99" t="str">
        <f t="shared" si="1"/>
        <v>0君</v>
      </c>
      <c r="G38" s="99" t="str">
        <f t="shared" si="0"/>
        <v>0君</v>
      </c>
      <c r="M38" s="112"/>
      <c r="N38" s="112"/>
      <c r="O38" s="112"/>
      <c r="P38" s="112"/>
      <c r="Q38" s="120" t="s">
        <v>42</v>
      </c>
      <c r="R38" s="290">
        <f>'内容入力'!D25</f>
        <v>0</v>
      </c>
      <c r="S38" s="290"/>
      <c r="T38" s="290"/>
      <c r="U38" s="290"/>
      <c r="V38" s="121" t="s">
        <v>43</v>
      </c>
    </row>
    <row r="39" spans="1:22" ht="18" customHeight="1">
      <c r="A39" s="109">
        <v>30</v>
      </c>
      <c r="B39" s="109">
        <f>HLOOKUP($E$7,'名簿入力'!$B$3:$AK$46,32)</f>
        <v>0</v>
      </c>
      <c r="C39" s="110">
        <f>HLOOKUP($F$7,'名簿入力'!$B$3:$AK$46,2)</f>
        <v>0</v>
      </c>
      <c r="D39" s="99" t="s">
        <v>80</v>
      </c>
      <c r="E39" s="99">
        <v>30</v>
      </c>
      <c r="F39" s="99" t="str">
        <f t="shared" si="1"/>
        <v>0君</v>
      </c>
      <c r="G39" s="99" t="str">
        <f t="shared" si="0"/>
        <v>0君</v>
      </c>
      <c r="M39" s="112"/>
      <c r="N39" s="112"/>
      <c r="O39" s="112"/>
      <c r="P39" s="112"/>
      <c r="Q39" s="122"/>
      <c r="R39" s="123" t="str">
        <f>'内容入力'!B26</f>
        <v>職場</v>
      </c>
      <c r="S39" s="281">
        <f>'内容入力'!D26</f>
        <v>0</v>
      </c>
      <c r="T39" s="281"/>
      <c r="U39" s="281"/>
      <c r="V39" s="282"/>
    </row>
    <row r="40" spans="1:22" ht="18" customHeight="1">
      <c r="A40" s="109">
        <v>31</v>
      </c>
      <c r="B40" s="109">
        <f>HLOOKUP($E$7,'名簿入力'!$B$3:$AK$46,33)</f>
        <v>0</v>
      </c>
      <c r="C40" s="110">
        <f>HLOOKUP($F$7,'名簿入力'!$B$3:$AK$46,33)</f>
        <v>0</v>
      </c>
      <c r="D40" s="99" t="s">
        <v>80</v>
      </c>
      <c r="E40" s="99">
        <v>31</v>
      </c>
      <c r="F40" s="99" t="str">
        <f t="shared" si="1"/>
        <v>0君</v>
      </c>
      <c r="G40" s="99" t="str">
        <f t="shared" si="0"/>
        <v>0君</v>
      </c>
      <c r="M40" s="112"/>
      <c r="N40" s="112"/>
      <c r="O40" s="112"/>
      <c r="P40" s="112"/>
      <c r="Q40" s="124"/>
      <c r="R40" s="125" t="str">
        <f>'内容入力'!B27</f>
        <v>携帯電話</v>
      </c>
      <c r="S40" s="283">
        <f>'内容入力'!D27</f>
        <v>0</v>
      </c>
      <c r="T40" s="283"/>
      <c r="U40" s="283"/>
      <c r="V40" s="284"/>
    </row>
    <row r="41" spans="1:22" ht="18" customHeight="1">
      <c r="A41" s="109">
        <v>32</v>
      </c>
      <c r="B41" s="109">
        <f>HLOOKUP($E$7,'名簿入力'!$B$3:$AK$46,34)</f>
        <v>0</v>
      </c>
      <c r="C41" s="110">
        <f>HLOOKUP($F$7,'名簿入力'!$B$3:$AK$46,34)</f>
        <v>0</v>
      </c>
      <c r="D41" s="99" t="s">
        <v>80</v>
      </c>
      <c r="E41" s="99">
        <v>32</v>
      </c>
      <c r="F41" s="99" t="str">
        <f t="shared" si="1"/>
        <v>0君</v>
      </c>
      <c r="G41" s="99" t="str">
        <f t="shared" si="0"/>
        <v>0君</v>
      </c>
      <c r="M41" s="126"/>
      <c r="N41" s="126"/>
      <c r="O41" s="126"/>
      <c r="P41" s="126"/>
      <c r="Q41" s="126"/>
      <c r="R41" s="126"/>
      <c r="S41" s="126"/>
      <c r="T41" s="126"/>
      <c r="U41" s="126"/>
      <c r="V41" s="126"/>
    </row>
    <row r="42" spans="1:22" ht="18" customHeight="1">
      <c r="A42" s="109">
        <v>33</v>
      </c>
      <c r="B42" s="109">
        <f>HLOOKUP($E$7,'名簿入力'!$B$3:$AK$46,35)</f>
        <v>0</v>
      </c>
      <c r="C42" s="110">
        <f>HLOOKUP($F$7,'名簿入力'!$B$3:$AK$46,35)</f>
        <v>0</v>
      </c>
      <c r="D42" s="99" t="s">
        <v>80</v>
      </c>
      <c r="E42" s="99">
        <v>33</v>
      </c>
      <c r="F42" s="99" t="str">
        <f t="shared" si="1"/>
        <v>0君</v>
      </c>
      <c r="G42" s="99" t="str">
        <f t="shared" si="0"/>
        <v>0君</v>
      </c>
      <c r="M42" s="112"/>
      <c r="N42" s="112"/>
      <c r="O42" s="112"/>
      <c r="P42" s="112"/>
      <c r="Q42" s="112"/>
      <c r="R42" s="112"/>
      <c r="S42" s="112"/>
      <c r="T42" s="112"/>
      <c r="U42" s="112"/>
      <c r="V42" s="112"/>
    </row>
    <row r="43" spans="1:22" ht="18" customHeight="1">
      <c r="A43" s="109">
        <v>34</v>
      </c>
      <c r="B43" s="109">
        <f>HLOOKUP($E$7,'名簿入力'!$B$3:$AK$46,36)</f>
        <v>0</v>
      </c>
      <c r="C43" s="110">
        <f>HLOOKUP($F$7,'名簿入力'!$B$3:$AK$46,36)</f>
        <v>0</v>
      </c>
      <c r="D43" s="99" t="s">
        <v>80</v>
      </c>
      <c r="E43" s="99">
        <v>34</v>
      </c>
      <c r="F43" s="99" t="str">
        <f t="shared" si="1"/>
        <v>0君</v>
      </c>
      <c r="G43" s="99" t="str">
        <f t="shared" si="0"/>
        <v>0君</v>
      </c>
      <c r="M43" s="289">
        <f>'内容入力'!D28</f>
        <v>0</v>
      </c>
      <c r="N43" s="289"/>
      <c r="O43" s="289"/>
      <c r="P43" s="289"/>
      <c r="Q43" s="125" t="s">
        <v>49</v>
      </c>
      <c r="R43" s="112"/>
      <c r="S43" s="112"/>
      <c r="T43" s="112"/>
      <c r="U43" s="112"/>
      <c r="V43" s="112"/>
    </row>
    <row r="44" spans="1:22" ht="18" customHeight="1">
      <c r="A44" s="109">
        <v>35</v>
      </c>
      <c r="B44" s="109">
        <f>HLOOKUP($E$7,'名簿入力'!$B$3:$AK$46,37)</f>
        <v>0</v>
      </c>
      <c r="C44" s="110">
        <f>HLOOKUP($F$7,'名簿入力'!$B$3:$AK$46,37)</f>
        <v>0</v>
      </c>
      <c r="D44" s="99" t="s">
        <v>80</v>
      </c>
      <c r="E44" s="99">
        <v>35</v>
      </c>
      <c r="F44" s="99" t="str">
        <f t="shared" si="1"/>
        <v>0君</v>
      </c>
      <c r="G44" s="99" t="str">
        <f t="shared" si="0"/>
        <v>0君</v>
      </c>
      <c r="M44" s="112"/>
      <c r="N44" s="268" t="str">
        <f>'内容入力'!D7</f>
        <v>岩手県トレセンマッチへの参加</v>
      </c>
      <c r="O44" s="268"/>
      <c r="P44" s="268"/>
      <c r="Q44" s="268"/>
      <c r="R44" s="112" t="s">
        <v>50</v>
      </c>
      <c r="S44" s="112"/>
      <c r="T44" s="112"/>
      <c r="U44" s="112"/>
      <c r="V44" s="112"/>
    </row>
    <row r="45" spans="1:22" ht="18" customHeight="1">
      <c r="A45" s="109">
        <v>36</v>
      </c>
      <c r="B45" s="109">
        <f>HLOOKUP($E$7,'名簿入力'!$B$3:$AK$46,38)</f>
        <v>0</v>
      </c>
      <c r="C45" s="110">
        <f>HLOOKUP($F$7,'名簿入力'!$B$3:$AK$46,38)</f>
        <v>0</v>
      </c>
      <c r="D45" s="99" t="s">
        <v>80</v>
      </c>
      <c r="E45" s="99">
        <v>36</v>
      </c>
      <c r="F45" s="99" t="str">
        <f t="shared" si="1"/>
        <v>0君</v>
      </c>
      <c r="G45" s="99" t="str">
        <f t="shared" si="0"/>
        <v>0君</v>
      </c>
      <c r="M45" s="112"/>
      <c r="N45" s="112" t="str">
        <f>'内容入力'!D29</f>
        <v>活動中の負傷、事故等について、責任の追及は一切いたしません。</v>
      </c>
      <c r="O45" s="112"/>
      <c r="P45" s="112"/>
      <c r="Q45" s="112"/>
      <c r="R45" s="112"/>
      <c r="S45" s="112"/>
      <c r="T45" s="112"/>
      <c r="U45" s="112"/>
      <c r="V45" s="112"/>
    </row>
    <row r="46" spans="1:22" ht="18" customHeight="1">
      <c r="A46" s="109">
        <v>37</v>
      </c>
      <c r="B46" s="109">
        <f>HLOOKUP($E$7,'名簿入力'!$B$3:$AK$46,39)</f>
        <v>0</v>
      </c>
      <c r="C46" s="110">
        <f>HLOOKUP($F$7,'名簿入力'!$B$3:$AK$46,39)</f>
        <v>0</v>
      </c>
      <c r="D46" s="99" t="s">
        <v>80</v>
      </c>
      <c r="E46" s="99">
        <v>37</v>
      </c>
      <c r="F46" s="99" t="str">
        <f t="shared" si="1"/>
        <v>0君</v>
      </c>
      <c r="G46" s="99" t="str">
        <f t="shared" si="0"/>
        <v>0君</v>
      </c>
      <c r="M46" s="127" t="s">
        <v>54</v>
      </c>
      <c r="N46" s="128"/>
      <c r="O46" s="295"/>
      <c r="P46" s="295"/>
      <c r="Q46" s="112"/>
      <c r="R46" s="128" t="s">
        <v>55</v>
      </c>
      <c r="S46" s="128"/>
      <c r="T46" s="128"/>
      <c r="U46" s="128"/>
      <c r="V46" s="125" t="s">
        <v>56</v>
      </c>
    </row>
    <row r="47" spans="1:22" ht="18" customHeight="1">
      <c r="A47" s="109">
        <v>38</v>
      </c>
      <c r="B47" s="109">
        <f>HLOOKUP($E$7,'名簿入力'!$B$3:$AK$46,40)</f>
        <v>0</v>
      </c>
      <c r="C47" s="110">
        <f>HLOOKUP($F$7,'名簿入力'!$B$3:$AK$46,40)</f>
        <v>0</v>
      </c>
      <c r="D47" s="99" t="s">
        <v>80</v>
      </c>
      <c r="E47" s="99">
        <v>38</v>
      </c>
      <c r="F47" s="99" t="str">
        <f t="shared" si="1"/>
        <v>0君</v>
      </c>
      <c r="G47" s="99" t="str">
        <f t="shared" si="0"/>
        <v>0君</v>
      </c>
      <c r="M47" s="112"/>
      <c r="N47" s="112"/>
      <c r="O47" s="112"/>
      <c r="P47" s="112"/>
      <c r="Q47" s="112"/>
      <c r="R47" s="112"/>
      <c r="S47" s="112"/>
      <c r="T47" s="112"/>
      <c r="U47" s="112"/>
      <c r="V47" s="112"/>
    </row>
    <row r="48" spans="1:22" ht="18" customHeight="1">
      <c r="A48" s="109">
        <v>39</v>
      </c>
      <c r="B48" s="109">
        <f>HLOOKUP($E$7,'名簿入力'!$B$3:$AK$46,41)</f>
        <v>0</v>
      </c>
      <c r="C48" s="110">
        <f>HLOOKUP($F$7,'名簿入力'!$B$3:$AK$46,41)</f>
        <v>0</v>
      </c>
      <c r="D48" s="99" t="s">
        <v>80</v>
      </c>
      <c r="E48" s="99">
        <v>39</v>
      </c>
      <c r="F48" s="99" t="str">
        <f t="shared" si="1"/>
        <v>0君</v>
      </c>
      <c r="G48" s="99" t="str">
        <f t="shared" si="0"/>
        <v>0君</v>
      </c>
      <c r="M48" s="127" t="s">
        <v>58</v>
      </c>
      <c r="N48" s="127"/>
      <c r="O48" s="128"/>
      <c r="P48" s="128"/>
      <c r="Q48" s="128"/>
      <c r="R48" s="128"/>
      <c r="S48" s="128"/>
      <c r="T48" s="128"/>
      <c r="U48" s="128"/>
      <c r="V48" s="128"/>
    </row>
    <row r="49" spans="1:22" ht="18" customHeight="1">
      <c r="A49" s="109">
        <v>40</v>
      </c>
      <c r="B49" s="109">
        <f>HLOOKUP($E$7,'名簿入力'!$B$3:$AK$46,42)</f>
        <v>0</v>
      </c>
      <c r="C49" s="110">
        <f>HLOOKUP($F$7,'名簿入力'!$B$3:$AK$46,42)</f>
        <v>0</v>
      </c>
      <c r="D49" s="99" t="s">
        <v>80</v>
      </c>
      <c r="E49" s="99">
        <v>40</v>
      </c>
      <c r="F49" s="99" t="str">
        <f t="shared" si="1"/>
        <v>0君</v>
      </c>
      <c r="G49" s="99" t="str">
        <f t="shared" si="0"/>
        <v>0君</v>
      </c>
      <c r="M49" s="293" t="s">
        <v>57</v>
      </c>
      <c r="N49" s="293"/>
      <c r="O49" s="129"/>
      <c r="P49" s="129"/>
      <c r="Q49" s="112"/>
      <c r="R49" s="294">
        <f>IF('内容入力'!D30="記載させる","選手登録番号","")</f>
      </c>
      <c r="S49" s="294"/>
      <c r="T49" s="294"/>
      <c r="U49" s="294"/>
      <c r="V49" s="294"/>
    </row>
    <row r="50" spans="1:22" ht="18" customHeight="1">
      <c r="A50" s="109">
        <v>41</v>
      </c>
      <c r="B50" s="109">
        <f>HLOOKUP($E$7,'名簿入力'!$B$3:$AK$46,43)</f>
        <v>0</v>
      </c>
      <c r="C50" s="110">
        <f>HLOOKUP($F$7,'名簿入力'!$B$3:$AK$46,43)</f>
        <v>0</v>
      </c>
      <c r="D50" s="99" t="s">
        <v>80</v>
      </c>
      <c r="E50" s="99">
        <v>41</v>
      </c>
      <c r="F50" s="99" t="str">
        <f t="shared" si="1"/>
        <v>0君</v>
      </c>
      <c r="G50" s="99" t="str">
        <f t="shared" si="0"/>
        <v>0君</v>
      </c>
      <c r="M50" s="112"/>
      <c r="N50" s="112"/>
      <c r="O50" s="112"/>
      <c r="P50" s="112"/>
      <c r="Q50" s="112"/>
      <c r="R50" s="112"/>
      <c r="S50" s="112"/>
      <c r="T50" s="112"/>
      <c r="U50" s="112"/>
      <c r="V50" s="112"/>
    </row>
    <row r="51" spans="1:22" ht="18" customHeight="1">
      <c r="A51" s="109">
        <v>42</v>
      </c>
      <c r="B51" s="109">
        <f>HLOOKUP($E$7,'名簿入力'!$B$3:$AK$46,44)</f>
        <v>0</v>
      </c>
      <c r="C51" s="110">
        <f>HLOOKUP($F$7,'名簿入力'!$B$3:$AK$46,44)</f>
        <v>0</v>
      </c>
      <c r="D51" s="99" t="s">
        <v>80</v>
      </c>
      <c r="E51" s="99">
        <v>42</v>
      </c>
      <c r="F51" s="99" t="str">
        <f t="shared" si="1"/>
        <v>0君</v>
      </c>
      <c r="G51" s="99" t="str">
        <f t="shared" si="0"/>
        <v>0君</v>
      </c>
      <c r="M51" s="118">
        <f>'内容入力'!D31</f>
        <v>0</v>
      </c>
      <c r="N51" s="118"/>
      <c r="O51" s="118"/>
      <c r="P51" s="112"/>
      <c r="Q51" s="112"/>
      <c r="R51" s="112"/>
      <c r="S51" s="112"/>
      <c r="T51" s="112"/>
      <c r="U51" s="112"/>
      <c r="V51" s="112"/>
    </row>
    <row r="52" spans="1:12" ht="18" customHeight="1">
      <c r="A52" s="109">
        <v>43</v>
      </c>
      <c r="B52" s="111"/>
      <c r="C52" s="110"/>
      <c r="D52" s="99" t="s">
        <v>80</v>
      </c>
      <c r="E52" s="99">
        <v>43</v>
      </c>
      <c r="F52" s="99" t="str">
        <f t="shared" si="1"/>
        <v>君</v>
      </c>
      <c r="G52" s="99" t="str">
        <f t="shared" si="0"/>
        <v>君</v>
      </c>
      <c r="L52" s="132" t="s">
        <v>222</v>
      </c>
    </row>
    <row r="53" ht="18" customHeight="1"/>
    <row r="54" spans="1:3" ht="18" customHeight="1" hidden="1">
      <c r="A54" s="291" t="s">
        <v>72</v>
      </c>
      <c r="B54" s="291"/>
      <c r="C54" s="107"/>
    </row>
    <row r="55" spans="1:3" ht="18" customHeight="1" hidden="1">
      <c r="A55" s="292" t="s">
        <v>75</v>
      </c>
      <c r="B55" s="292"/>
      <c r="C55" s="108"/>
    </row>
    <row r="56" spans="1:3" ht="18" customHeight="1" hidden="1">
      <c r="A56" s="292"/>
      <c r="B56" s="292"/>
      <c r="C56" s="108"/>
    </row>
    <row r="57" ht="18" customHeight="1" hidden="1"/>
    <row r="58" spans="1:3" ht="18" customHeight="1" hidden="1">
      <c r="A58" s="291" t="s">
        <v>92</v>
      </c>
      <c r="B58" s="291"/>
      <c r="C58" s="107"/>
    </row>
    <row r="59" spans="1:3" ht="18" customHeight="1" hidden="1">
      <c r="A59" s="291" t="s">
        <v>93</v>
      </c>
      <c r="B59" s="291"/>
      <c r="C59" s="107"/>
    </row>
    <row r="60" spans="1:3" ht="18" customHeight="1" hidden="1">
      <c r="A60" s="291"/>
      <c r="B60" s="291"/>
      <c r="C60" s="107"/>
    </row>
    <row r="61" ht="18" customHeight="1"/>
    <row r="62" ht="18" customHeight="1"/>
  </sheetData>
  <sheetProtection password="DA1F" sheet="1" objects="1" scenarios="1"/>
  <mergeCells count="51">
    <mergeCell ref="O33:P33"/>
    <mergeCell ref="O32:P32"/>
    <mergeCell ref="O26:V26"/>
    <mergeCell ref="O28:V28"/>
    <mergeCell ref="R30:U30"/>
    <mergeCell ref="O30:P30"/>
    <mergeCell ref="Q32:S32"/>
    <mergeCell ref="Q33:S33"/>
    <mergeCell ref="M43:P43"/>
    <mergeCell ref="R38:U38"/>
    <mergeCell ref="A58:B58"/>
    <mergeCell ref="A59:B60"/>
    <mergeCell ref="A55:B56"/>
    <mergeCell ref="A54:B54"/>
    <mergeCell ref="M49:N49"/>
    <mergeCell ref="R49:V49"/>
    <mergeCell ref="O46:P46"/>
    <mergeCell ref="N44:Q44"/>
    <mergeCell ref="O36:P36"/>
    <mergeCell ref="O35:P35"/>
    <mergeCell ref="O34:P34"/>
    <mergeCell ref="S39:V39"/>
    <mergeCell ref="S40:V40"/>
    <mergeCell ref="R37:T37"/>
    <mergeCell ref="U37:V37"/>
    <mergeCell ref="Q34:S34"/>
    <mergeCell ref="Q35:S35"/>
    <mergeCell ref="Q36:S36"/>
    <mergeCell ref="A6:A7"/>
    <mergeCell ref="B6:B7"/>
    <mergeCell ref="E5:E6"/>
    <mergeCell ref="E7:E8"/>
    <mergeCell ref="F5:F6"/>
    <mergeCell ref="F7:F8"/>
    <mergeCell ref="R10:S10"/>
    <mergeCell ref="N13:U13"/>
    <mergeCell ref="M15:V15"/>
    <mergeCell ref="M20:V20"/>
    <mergeCell ref="M18:V19"/>
    <mergeCell ref="O22:Q22"/>
    <mergeCell ref="M16:V16"/>
    <mergeCell ref="A4:C4"/>
    <mergeCell ref="B8:C8"/>
    <mergeCell ref="M7:N7"/>
    <mergeCell ref="O23:Q23"/>
    <mergeCell ref="O24:V24"/>
    <mergeCell ref="P25:S25"/>
    <mergeCell ref="T5:V5"/>
    <mergeCell ref="R9:V9"/>
    <mergeCell ref="U10:V10"/>
    <mergeCell ref="U11:V11"/>
  </mergeCells>
  <printOptions/>
  <pageMargins left="0.7" right="0.7" top="0.56" bottom="0.39" header="0.3" footer="0.2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70C0"/>
  </sheetPr>
  <dimension ref="A2:V60"/>
  <sheetViews>
    <sheetView showZeros="0" zoomScalePageLayoutView="0" workbookViewId="0" topLeftCell="A4">
      <selection activeCell="B25" sqref="B25"/>
    </sheetView>
  </sheetViews>
  <sheetFormatPr defaultColWidth="9.140625" defaultRowHeight="15"/>
  <cols>
    <col min="1" max="1" width="9.00390625" style="133" customWidth="1"/>
    <col min="2" max="2" width="16.8515625" style="133" customWidth="1"/>
    <col min="3" max="3" width="10.57421875" style="133" customWidth="1"/>
    <col min="4" max="11" width="9.00390625" style="133" hidden="1" customWidth="1"/>
    <col min="12" max="12" width="2.57421875" style="133" customWidth="1"/>
    <col min="13" max="19" width="9.140625" style="133" customWidth="1"/>
    <col min="20" max="20" width="2.7109375" style="133" customWidth="1"/>
    <col min="21" max="22" width="9.140625" style="133" customWidth="1"/>
    <col min="23" max="16384" width="9.00390625" style="133" customWidth="1"/>
  </cols>
  <sheetData>
    <row r="1" ht="13.5" hidden="1"/>
    <row r="2" spans="1:3" ht="13.5" hidden="1">
      <c r="A2" s="134"/>
      <c r="B2" s="135"/>
      <c r="C2" s="135"/>
    </row>
    <row r="3" spans="1:3" ht="42" hidden="1">
      <c r="A3" s="134"/>
      <c r="B3" s="136"/>
      <c r="C3" s="136"/>
    </row>
    <row r="4" spans="1:3" ht="14.25" thickBot="1">
      <c r="A4" s="266" t="s">
        <v>220</v>
      </c>
      <c r="B4" s="266"/>
      <c r="C4" s="266"/>
    </row>
    <row r="5" spans="1:22" ht="15" customHeight="1" thickBot="1" thickTop="1">
      <c r="A5" s="130" t="s">
        <v>145</v>
      </c>
      <c r="B5" s="131" t="s">
        <v>76</v>
      </c>
      <c r="C5" s="137"/>
      <c r="E5" s="300" t="s">
        <v>83</v>
      </c>
      <c r="F5" s="300" t="s">
        <v>84</v>
      </c>
      <c r="M5" s="112"/>
      <c r="N5" s="112"/>
      <c r="O5" s="112"/>
      <c r="P5" s="112"/>
      <c r="Q5" s="112"/>
      <c r="R5" s="112"/>
      <c r="S5" s="112"/>
      <c r="T5" s="272">
        <f ca="1">TODAY()</f>
        <v>40749</v>
      </c>
      <c r="U5" s="272"/>
      <c r="V5" s="272"/>
    </row>
    <row r="6" spans="1:22" ht="18" customHeight="1" thickBot="1" thickTop="1">
      <c r="A6" s="275">
        <v>1</v>
      </c>
      <c r="B6" s="277">
        <v>3</v>
      </c>
      <c r="C6" s="138"/>
      <c r="E6" s="300"/>
      <c r="F6" s="300"/>
      <c r="M6" s="112"/>
      <c r="N6" s="112"/>
      <c r="O6" s="112"/>
      <c r="P6" s="112"/>
      <c r="Q6" s="112"/>
      <c r="R6" s="112"/>
      <c r="S6" s="112"/>
      <c r="T6" s="112"/>
      <c r="U6" s="112"/>
      <c r="V6" s="112"/>
    </row>
    <row r="7" spans="1:22" ht="20.25" customHeight="1" thickBot="1" thickTop="1">
      <c r="A7" s="276"/>
      <c r="B7" s="278"/>
      <c r="C7" s="138"/>
      <c r="E7" s="299">
        <f>VLOOKUP(A6,H9:I20,2)</f>
        <v>1</v>
      </c>
      <c r="F7" s="299">
        <f>VLOOKUP(A6,H9:J20,3)</f>
        <v>3</v>
      </c>
      <c r="M7" s="268" t="s">
        <v>70</v>
      </c>
      <c r="N7" s="268"/>
      <c r="O7" s="112" t="s">
        <v>49</v>
      </c>
      <c r="P7" s="112"/>
      <c r="Q7" s="112"/>
      <c r="R7" s="112"/>
      <c r="S7" s="112"/>
      <c r="T7" s="112"/>
      <c r="U7" s="112"/>
      <c r="V7" s="112"/>
    </row>
    <row r="8" spans="2:22" ht="18" customHeight="1" thickBot="1" thickTop="1">
      <c r="B8" s="145" t="s">
        <v>221</v>
      </c>
      <c r="C8" s="145"/>
      <c r="E8" s="299"/>
      <c r="F8" s="299"/>
      <c r="H8" s="139"/>
      <c r="I8" s="139" t="s">
        <v>83</v>
      </c>
      <c r="J8" s="139" t="s">
        <v>84</v>
      </c>
      <c r="M8" s="112"/>
      <c r="N8" s="112"/>
      <c r="O8" s="112"/>
      <c r="P8" s="112"/>
      <c r="Q8" s="112"/>
      <c r="R8" s="112"/>
      <c r="S8" s="112"/>
      <c r="T8" s="112"/>
      <c r="U8" s="112"/>
      <c r="V8" s="112"/>
    </row>
    <row r="9" spans="1:22" ht="15" customHeight="1" thickTop="1">
      <c r="A9" s="109"/>
      <c r="B9" s="109" t="s">
        <v>71</v>
      </c>
      <c r="C9" s="110" t="s">
        <v>78</v>
      </c>
      <c r="H9" s="139">
        <v>1</v>
      </c>
      <c r="I9" s="139">
        <v>1</v>
      </c>
      <c r="J9" s="139">
        <v>3</v>
      </c>
      <c r="M9" s="112"/>
      <c r="N9" s="112"/>
      <c r="O9" s="112"/>
      <c r="P9" s="112"/>
      <c r="Q9" s="112"/>
      <c r="R9" s="273" t="str">
        <f>'内容入力'!D3</f>
        <v>岩手県サッカー協会</v>
      </c>
      <c r="S9" s="273"/>
      <c r="T9" s="273"/>
      <c r="U9" s="273"/>
      <c r="V9" s="273"/>
    </row>
    <row r="10" spans="1:22" ht="18" customHeight="1">
      <c r="A10" s="109">
        <v>1</v>
      </c>
      <c r="B10" s="109" t="str">
        <f>HLOOKUP($E$7,'名簿入力'!$B$3:$AK$46,3)</f>
        <v>生徒</v>
      </c>
      <c r="C10" s="110" t="str">
        <f>HLOOKUP($F$7,'名簿入力'!$B$3:$AK$46,3)</f>
        <v>所属</v>
      </c>
      <c r="E10" s="133">
        <v>1</v>
      </c>
      <c r="F10" s="133" t="s">
        <v>68</v>
      </c>
      <c r="G10" s="140" t="s">
        <v>94</v>
      </c>
      <c r="H10" s="139">
        <v>2</v>
      </c>
      <c r="I10" s="139">
        <v>4</v>
      </c>
      <c r="J10" s="139">
        <v>6</v>
      </c>
      <c r="M10" s="112"/>
      <c r="N10" s="112"/>
      <c r="O10" s="112"/>
      <c r="P10" s="112"/>
      <c r="Q10" s="112"/>
      <c r="R10" s="273" t="str">
        <f>'内容入力'!D4</f>
        <v>会長</v>
      </c>
      <c r="S10" s="273"/>
      <c r="T10" s="112"/>
      <c r="U10" s="268" t="str">
        <f>'内容入力'!D5</f>
        <v>山本　光男</v>
      </c>
      <c r="V10" s="268"/>
    </row>
    <row r="11" spans="1:22" ht="18" customHeight="1">
      <c r="A11" s="109">
        <v>2</v>
      </c>
      <c r="B11" s="109" t="str">
        <f>HLOOKUP($E$7,'名簿入力'!$B$3:$AK$46,4)</f>
        <v>生徒（別紙名簿）</v>
      </c>
      <c r="C11" s="110">
        <f>HLOOKUP($F$7,'名簿入力'!$B$3:$AK$46,4)</f>
        <v>0</v>
      </c>
      <c r="E11" s="133">
        <v>2</v>
      </c>
      <c r="F11" s="133" t="s">
        <v>69</v>
      </c>
      <c r="G11" s="140" t="s">
        <v>94</v>
      </c>
      <c r="H11" s="139">
        <v>3</v>
      </c>
      <c r="I11" s="139">
        <v>7</v>
      </c>
      <c r="J11" s="139">
        <v>9</v>
      </c>
      <c r="M11" s="112"/>
      <c r="N11" s="112"/>
      <c r="O11" s="112"/>
      <c r="P11" s="112"/>
      <c r="Q11" s="112"/>
      <c r="R11" s="112"/>
      <c r="S11" s="112"/>
      <c r="T11" s="112"/>
      <c r="U11" s="268" t="str">
        <f>IF('内容入力'!D6="公印なし","（公印省略）","")</f>
        <v>（公印省略）</v>
      </c>
      <c r="V11" s="268"/>
    </row>
    <row r="12" spans="1:22" ht="18" customHeight="1">
      <c r="A12" s="109">
        <v>3</v>
      </c>
      <c r="B12" s="109" t="str">
        <f>HLOOKUP($E$7,'名簿入力'!$B$3:$AK$46,5)</f>
        <v>柴田尚生</v>
      </c>
      <c r="C12" s="110">
        <f>HLOOKUP($F$7,'名簿入力'!$B$3:$AK$46,5)</f>
        <v>0</v>
      </c>
      <c r="D12" s="133" t="s">
        <v>80</v>
      </c>
      <c r="E12" s="133">
        <v>3</v>
      </c>
      <c r="F12" s="133" t="str">
        <f>B12&amp;D12</f>
        <v>柴田尚生君</v>
      </c>
      <c r="G12" s="133" t="str">
        <f>B12&amp;D12</f>
        <v>柴田尚生君</v>
      </c>
      <c r="H12" s="139">
        <v>4</v>
      </c>
      <c r="I12" s="139">
        <v>10</v>
      </c>
      <c r="J12" s="139">
        <v>12</v>
      </c>
      <c r="M12" s="112"/>
      <c r="N12" s="112"/>
      <c r="O12" s="112"/>
      <c r="P12" s="112"/>
      <c r="Q12" s="112"/>
      <c r="R12" s="112"/>
      <c r="S12" s="112"/>
      <c r="T12" s="112"/>
      <c r="U12" s="112"/>
      <c r="V12" s="112"/>
    </row>
    <row r="13" spans="1:22" ht="18" customHeight="1">
      <c r="A13" s="109">
        <v>4</v>
      </c>
      <c r="B13" s="109">
        <f>HLOOKUP($E$7,'名簿入力'!$B$3:$AK$46,6)</f>
        <v>0</v>
      </c>
      <c r="C13" s="110">
        <f>HLOOKUP($F$7,'名簿入力'!$B$3:$AK$46,6)</f>
        <v>0</v>
      </c>
      <c r="D13" s="133" t="s">
        <v>80</v>
      </c>
      <c r="E13" s="133">
        <v>4</v>
      </c>
      <c r="F13" s="133" t="str">
        <f>B13&amp;D13</f>
        <v>0君</v>
      </c>
      <c r="G13" s="133" t="str">
        <f aca="true" t="shared" si="0" ref="G13:G52">B13&amp;D13</f>
        <v>0君</v>
      </c>
      <c r="H13" s="139">
        <v>5</v>
      </c>
      <c r="I13" s="139">
        <v>13</v>
      </c>
      <c r="J13" s="139">
        <v>15</v>
      </c>
      <c r="M13" s="112"/>
      <c r="N13" s="268" t="str">
        <f>IF('内容入力'!D7="","",'内容入力'!D7&amp;"について（派遣依頼）")</f>
        <v>岩手県トレセンマッチへの参加について（派遣依頼）</v>
      </c>
      <c r="O13" s="268"/>
      <c r="P13" s="268"/>
      <c r="Q13" s="268"/>
      <c r="R13" s="268"/>
      <c r="S13" s="268"/>
      <c r="T13" s="268"/>
      <c r="U13" s="268"/>
      <c r="V13" s="112"/>
    </row>
    <row r="14" spans="1:22" ht="18" customHeight="1">
      <c r="A14" s="109">
        <v>5</v>
      </c>
      <c r="B14" s="109">
        <f>HLOOKUP($E$7,'名簿入力'!$B$3:$AK$46,7)</f>
        <v>0</v>
      </c>
      <c r="C14" s="110">
        <f>HLOOKUP($F$7,'名簿入力'!$B$3:$AK$46,7)</f>
        <v>0</v>
      </c>
      <c r="D14" s="133" t="s">
        <v>80</v>
      </c>
      <c r="E14" s="133">
        <v>5</v>
      </c>
      <c r="F14" s="133" t="str">
        <f aca="true" t="shared" si="1" ref="F14:F52">B14&amp;D14</f>
        <v>0君</v>
      </c>
      <c r="G14" s="133" t="str">
        <f t="shared" si="0"/>
        <v>0君</v>
      </c>
      <c r="H14" s="139">
        <v>6</v>
      </c>
      <c r="I14" s="139">
        <v>16</v>
      </c>
      <c r="J14" s="139">
        <v>18</v>
      </c>
      <c r="M14" s="112"/>
      <c r="N14" s="112"/>
      <c r="O14" s="112"/>
      <c r="P14" s="112"/>
      <c r="Q14" s="112"/>
      <c r="R14" s="112"/>
      <c r="S14" s="112"/>
      <c r="T14" s="112"/>
      <c r="U14" s="112"/>
      <c r="V14" s="112"/>
    </row>
    <row r="15" spans="1:22" ht="18" customHeight="1">
      <c r="A15" s="109">
        <v>6</v>
      </c>
      <c r="B15" s="109">
        <f>HLOOKUP($E$7,'名簿入力'!$B$3:$AK$46,8)</f>
        <v>0</v>
      </c>
      <c r="C15" s="110">
        <f>HLOOKUP($F$7,'名簿入力'!$B$3:$AK$46,8)</f>
        <v>0</v>
      </c>
      <c r="D15" s="133" t="s">
        <v>80</v>
      </c>
      <c r="E15" s="133">
        <v>6</v>
      </c>
      <c r="F15" s="133" t="str">
        <f t="shared" si="1"/>
        <v>0君</v>
      </c>
      <c r="G15" s="133" t="str">
        <f t="shared" si="0"/>
        <v>0君</v>
      </c>
      <c r="H15" s="139">
        <v>7</v>
      </c>
      <c r="I15" s="139">
        <v>19</v>
      </c>
      <c r="J15" s="139">
        <v>21</v>
      </c>
      <c r="M15" s="270" t="str">
        <f>VLOOKUP('内容入力'!S6,'内容入力'!R7:S18,2)&amp;'内容入力'!R19</f>
        <v>　盛夏の候、皆様におかれましてはますますご健勝のこととお慶び申し上げます。</v>
      </c>
      <c r="N15" s="270"/>
      <c r="O15" s="270"/>
      <c r="P15" s="270"/>
      <c r="Q15" s="270"/>
      <c r="R15" s="270"/>
      <c r="S15" s="270"/>
      <c r="T15" s="270"/>
      <c r="U15" s="270"/>
      <c r="V15" s="270"/>
    </row>
    <row r="16" spans="1:22" ht="18" customHeight="1">
      <c r="A16" s="109">
        <v>7</v>
      </c>
      <c r="B16" s="109">
        <f>HLOOKUP($E$7,'名簿入力'!$B$3:$AK$46,9)</f>
        <v>0</v>
      </c>
      <c r="C16" s="110">
        <f>HLOOKUP($F$7,'名簿入力'!$B$3:$AK$46,9)</f>
        <v>0</v>
      </c>
      <c r="D16" s="133" t="s">
        <v>80</v>
      </c>
      <c r="E16" s="133">
        <v>7</v>
      </c>
      <c r="F16" s="133" t="str">
        <f t="shared" si="1"/>
        <v>0君</v>
      </c>
      <c r="G16" s="133" t="str">
        <f t="shared" si="0"/>
        <v>0君</v>
      </c>
      <c r="H16" s="139">
        <v>8</v>
      </c>
      <c r="I16" s="139">
        <v>22</v>
      </c>
      <c r="J16" s="139">
        <v>24</v>
      </c>
      <c r="M16" s="270" t="s">
        <v>24</v>
      </c>
      <c r="N16" s="270"/>
      <c r="O16" s="270"/>
      <c r="P16" s="270"/>
      <c r="Q16" s="270"/>
      <c r="R16" s="270"/>
      <c r="S16" s="270"/>
      <c r="T16" s="270"/>
      <c r="U16" s="270"/>
      <c r="V16" s="270"/>
    </row>
    <row r="17" spans="1:22" ht="18" customHeight="1">
      <c r="A17" s="109">
        <v>8</v>
      </c>
      <c r="B17" s="109">
        <f>HLOOKUP($E$7,'名簿入力'!$B$3:$AK$46,10)</f>
        <v>0</v>
      </c>
      <c r="C17" s="110">
        <f>HLOOKUP($F$7,'名簿入力'!$B$3:$AK$46,10)</f>
        <v>0</v>
      </c>
      <c r="D17" s="133" t="s">
        <v>80</v>
      </c>
      <c r="E17" s="133">
        <v>8</v>
      </c>
      <c r="F17" s="133" t="str">
        <f t="shared" si="1"/>
        <v>0君</v>
      </c>
      <c r="G17" s="133" t="str">
        <f t="shared" si="0"/>
        <v>0君</v>
      </c>
      <c r="H17" s="139">
        <v>9</v>
      </c>
      <c r="I17" s="139">
        <v>25</v>
      </c>
      <c r="J17" s="139">
        <v>27</v>
      </c>
      <c r="M17" s="112" t="s">
        <v>61</v>
      </c>
      <c r="N17" s="112"/>
      <c r="O17" s="112"/>
      <c r="P17" s="112"/>
      <c r="Q17" s="112"/>
      <c r="R17" s="112"/>
      <c r="S17" s="112"/>
      <c r="T17" s="112"/>
      <c r="U17" s="112"/>
      <c r="V17" s="112"/>
    </row>
    <row r="18" spans="1:22" ht="17.25" customHeight="1">
      <c r="A18" s="109">
        <v>9</v>
      </c>
      <c r="B18" s="109">
        <f>HLOOKUP($E$7,'名簿入力'!$B$3:$AK$46,11)</f>
        <v>0</v>
      </c>
      <c r="C18" s="110">
        <f>HLOOKUP($F$7,'名簿入力'!$B$3:$AK$46,11)</f>
        <v>0</v>
      </c>
      <c r="D18" s="133" t="s">
        <v>80</v>
      </c>
      <c r="E18" s="133">
        <v>9</v>
      </c>
      <c r="F18" s="133" t="str">
        <f t="shared" si="1"/>
        <v>0君</v>
      </c>
      <c r="G18" s="133" t="str">
        <f t="shared" si="0"/>
        <v>0君</v>
      </c>
      <c r="H18" s="139">
        <v>10</v>
      </c>
      <c r="I18" s="139">
        <v>28</v>
      </c>
      <c r="J18" s="139">
        <v>30</v>
      </c>
      <c r="M18" s="274" t="str">
        <f>IF(タイトル!A48=48,A54&amp;VLOOKUP(B6,E10:F52,2)&amp;A55,'名簿入力'!A49)</f>
        <v>　つきましては、貴所属　柴田尚生君　の参加につきまして特段のご配慮を賜りますようお願いいたします。</v>
      </c>
      <c r="N18" s="274"/>
      <c r="O18" s="274"/>
      <c r="P18" s="274"/>
      <c r="Q18" s="274"/>
      <c r="R18" s="274"/>
      <c r="S18" s="274"/>
      <c r="T18" s="274"/>
      <c r="U18" s="274"/>
      <c r="V18" s="274"/>
    </row>
    <row r="19" spans="1:22" ht="17.25" customHeight="1">
      <c r="A19" s="109">
        <v>10</v>
      </c>
      <c r="B19" s="109">
        <f>HLOOKUP($E$7,'名簿入力'!$B$3:$AK$46,12)</f>
        <v>0</v>
      </c>
      <c r="C19" s="110">
        <f>HLOOKUP($F$7,'名簿入力'!$B$3:$AK$46,12)</f>
        <v>0</v>
      </c>
      <c r="D19" s="133" t="s">
        <v>80</v>
      </c>
      <c r="E19" s="133">
        <v>10</v>
      </c>
      <c r="F19" s="133" t="str">
        <f t="shared" si="1"/>
        <v>0君</v>
      </c>
      <c r="G19" s="133" t="str">
        <f t="shared" si="0"/>
        <v>0君</v>
      </c>
      <c r="H19" s="139">
        <v>11</v>
      </c>
      <c r="I19" s="139">
        <v>31</v>
      </c>
      <c r="J19" s="139">
        <v>33</v>
      </c>
      <c r="M19" s="274"/>
      <c r="N19" s="274"/>
      <c r="O19" s="274"/>
      <c r="P19" s="274"/>
      <c r="Q19" s="274"/>
      <c r="R19" s="274"/>
      <c r="S19" s="274"/>
      <c r="T19" s="274"/>
      <c r="U19" s="274"/>
      <c r="V19" s="274"/>
    </row>
    <row r="20" spans="1:22" ht="18" customHeight="1">
      <c r="A20" s="109">
        <v>11</v>
      </c>
      <c r="B20" s="109">
        <f>HLOOKUP($E$7,'名簿入力'!$B$3:$AK$46,13)</f>
        <v>0</v>
      </c>
      <c r="C20" s="110">
        <f>HLOOKUP($F$7,'名簿入力'!$B$3:$AK$46,13)</f>
        <v>0</v>
      </c>
      <c r="D20" s="133" t="s">
        <v>80</v>
      </c>
      <c r="E20" s="133">
        <v>11</v>
      </c>
      <c r="F20" s="133" t="str">
        <f t="shared" si="1"/>
        <v>0君</v>
      </c>
      <c r="G20" s="133" t="str">
        <f t="shared" si="0"/>
        <v>0君</v>
      </c>
      <c r="H20" s="139">
        <v>12</v>
      </c>
      <c r="I20" s="139">
        <v>34</v>
      </c>
      <c r="J20" s="139">
        <v>36</v>
      </c>
      <c r="M20" s="269" t="s">
        <v>21</v>
      </c>
      <c r="N20" s="269"/>
      <c r="O20" s="269"/>
      <c r="P20" s="269"/>
      <c r="Q20" s="269"/>
      <c r="R20" s="269"/>
      <c r="S20" s="269"/>
      <c r="T20" s="269"/>
      <c r="U20" s="269"/>
      <c r="V20" s="269"/>
    </row>
    <row r="21" spans="1:22" ht="18" customHeight="1">
      <c r="A21" s="109">
        <v>12</v>
      </c>
      <c r="B21" s="109">
        <f>HLOOKUP($E$7,'名簿入力'!$B$3:$AK$46,14)</f>
        <v>0</v>
      </c>
      <c r="C21" s="110">
        <f>HLOOKUP($F$7,'名簿入力'!$B$3:$AK$46,14)</f>
        <v>0</v>
      </c>
      <c r="D21" s="133" t="s">
        <v>80</v>
      </c>
      <c r="E21" s="133">
        <v>12</v>
      </c>
      <c r="F21" s="133" t="str">
        <f t="shared" si="1"/>
        <v>0君</v>
      </c>
      <c r="G21" s="133" t="str">
        <f t="shared" si="0"/>
        <v>0君</v>
      </c>
      <c r="M21" s="112"/>
      <c r="N21" s="112"/>
      <c r="O21" s="112"/>
      <c r="P21" s="112"/>
      <c r="Q21" s="112"/>
      <c r="R21" s="112"/>
      <c r="S21" s="112"/>
      <c r="T21" s="112"/>
      <c r="U21" s="112"/>
      <c r="V21" s="112"/>
    </row>
    <row r="22" spans="1:22" ht="18" customHeight="1">
      <c r="A22" s="109">
        <v>13</v>
      </c>
      <c r="B22" s="109">
        <f>HLOOKUP($E$7,'名簿入力'!$B$3:$AK$46,15)</f>
        <v>0</v>
      </c>
      <c r="C22" s="110">
        <f>HLOOKUP($F$7,'名簿入力'!$B$3:$AK$46,15)</f>
        <v>0</v>
      </c>
      <c r="D22" s="133" t="s">
        <v>80</v>
      </c>
      <c r="E22" s="133">
        <v>13</v>
      </c>
      <c r="F22" s="133" t="str">
        <f t="shared" si="1"/>
        <v>0君</v>
      </c>
      <c r="G22" s="133" t="str">
        <f t="shared" si="0"/>
        <v>0君</v>
      </c>
      <c r="M22" s="113" t="s">
        <v>29</v>
      </c>
      <c r="N22" s="112" t="s">
        <v>25</v>
      </c>
      <c r="O22" s="268">
        <f>'内容入力'!D8</f>
        <v>0</v>
      </c>
      <c r="P22" s="268"/>
      <c r="Q22" s="268"/>
      <c r="R22" s="112"/>
      <c r="S22" s="114">
        <f>'内容入力'!D10</f>
        <v>0</v>
      </c>
      <c r="T22" s="115" t="s">
        <v>34</v>
      </c>
      <c r="U22" s="114">
        <f>IF('内容入力'!P9&gt;1,"",'内容入力'!D11)</f>
        <v>0</v>
      </c>
      <c r="V22" s="112"/>
    </row>
    <row r="23" spans="1:22" ht="18" customHeight="1">
      <c r="A23" s="109">
        <v>14</v>
      </c>
      <c r="B23" s="109">
        <f>HLOOKUP($E$7,'名簿入力'!$B$3:$AK$46,16)</f>
        <v>0</v>
      </c>
      <c r="C23" s="110">
        <f>HLOOKUP($F$7,'名簿入力'!$B$3:$AK$46,16)</f>
        <v>0</v>
      </c>
      <c r="D23" s="133" t="s">
        <v>80</v>
      </c>
      <c r="E23" s="133">
        <v>14</v>
      </c>
      <c r="F23" s="133" t="str">
        <f t="shared" si="1"/>
        <v>0君</v>
      </c>
      <c r="G23" s="133" t="str">
        <f t="shared" si="0"/>
        <v>0君</v>
      </c>
      <c r="M23" s="113"/>
      <c r="N23" s="112"/>
      <c r="O23" s="268">
        <f>IF('内容入力'!P9&gt;1,'内容入力'!D9,"")</f>
      </c>
      <c r="P23" s="268"/>
      <c r="Q23" s="268"/>
      <c r="R23" s="112"/>
      <c r="S23" s="114">
        <f>IF('内容入力'!P9&gt;1,'内容入力'!D12,"")</f>
      </c>
      <c r="T23" s="115"/>
      <c r="U23" s="112"/>
      <c r="V23" s="112"/>
    </row>
    <row r="24" spans="1:22" ht="18" customHeight="1">
      <c r="A24" s="109">
        <v>15</v>
      </c>
      <c r="B24" s="109">
        <f>HLOOKUP($E$7,'名簿入力'!$B$3:$AK$46,17)</f>
        <v>0</v>
      </c>
      <c r="C24" s="110">
        <f>HLOOKUP($F$7,'名簿入力'!$B$3:$AK$46,17)</f>
        <v>0</v>
      </c>
      <c r="D24" s="133" t="s">
        <v>80</v>
      </c>
      <c r="E24" s="133">
        <v>15</v>
      </c>
      <c r="F24" s="133" t="str">
        <f t="shared" si="1"/>
        <v>0君</v>
      </c>
      <c r="G24" s="133" t="str">
        <f t="shared" si="0"/>
        <v>0君</v>
      </c>
      <c r="M24" s="113" t="s">
        <v>30</v>
      </c>
      <c r="N24" s="112" t="s">
        <v>26</v>
      </c>
      <c r="O24" s="270">
        <f>'内容入力'!D13</f>
        <v>0</v>
      </c>
      <c r="P24" s="270"/>
      <c r="Q24" s="270"/>
      <c r="R24" s="270"/>
      <c r="S24" s="270"/>
      <c r="T24" s="270"/>
      <c r="U24" s="270"/>
      <c r="V24" s="270"/>
    </row>
    <row r="25" spans="1:22" ht="18" customHeight="1">
      <c r="A25" s="109">
        <v>16</v>
      </c>
      <c r="B25" s="109">
        <f>HLOOKUP($E$7,'名簿入力'!$B$3:$AK$46,18)</f>
        <v>0</v>
      </c>
      <c r="C25" s="110">
        <f>HLOOKUP($F$7,'名簿入力'!$B$3:$AK$46,18)</f>
        <v>0</v>
      </c>
      <c r="D25" s="133" t="s">
        <v>80</v>
      </c>
      <c r="E25" s="133">
        <v>16</v>
      </c>
      <c r="F25" s="133" t="str">
        <f t="shared" si="1"/>
        <v>0君</v>
      </c>
      <c r="G25" s="133" t="str">
        <f t="shared" si="0"/>
        <v>0君</v>
      </c>
      <c r="M25" s="113"/>
      <c r="N25" s="112"/>
      <c r="O25" s="115"/>
      <c r="P25" s="271"/>
      <c r="Q25" s="271"/>
      <c r="R25" s="271"/>
      <c r="S25" s="271"/>
      <c r="T25" s="112"/>
      <c r="U25" s="112"/>
      <c r="V25" s="112"/>
    </row>
    <row r="26" spans="1:22" ht="18" customHeight="1">
      <c r="A26" s="109">
        <v>17</v>
      </c>
      <c r="B26" s="109">
        <f>HLOOKUP($E$7,'名簿入力'!$B$3:$AK$46,19)</f>
        <v>0</v>
      </c>
      <c r="C26" s="110">
        <f>HLOOKUP($F$7,'名簿入力'!$B$3:$AK$46,19)</f>
        <v>0</v>
      </c>
      <c r="D26" s="133" t="s">
        <v>80</v>
      </c>
      <c r="E26" s="133">
        <v>17</v>
      </c>
      <c r="F26" s="133" t="str">
        <f t="shared" si="1"/>
        <v>0君</v>
      </c>
      <c r="G26" s="133" t="str">
        <f t="shared" si="0"/>
        <v>0君</v>
      </c>
      <c r="M26" s="113" t="s">
        <v>31</v>
      </c>
      <c r="N26" s="112" t="s">
        <v>28</v>
      </c>
      <c r="O26" s="270">
        <f>'内容入力'!D14</f>
        <v>0</v>
      </c>
      <c r="P26" s="270"/>
      <c r="Q26" s="270"/>
      <c r="R26" s="270"/>
      <c r="S26" s="270"/>
      <c r="T26" s="270"/>
      <c r="U26" s="270"/>
      <c r="V26" s="270"/>
    </row>
    <row r="27" spans="1:22" ht="18" customHeight="1">
      <c r="A27" s="109">
        <v>18</v>
      </c>
      <c r="B27" s="109">
        <f>HLOOKUP($E$7,'名簿入力'!$B$3:$AK$46,20)</f>
        <v>0</v>
      </c>
      <c r="C27" s="110">
        <f>HLOOKUP($F$7,'名簿入力'!$B$3:$AK$46,20)</f>
        <v>0</v>
      </c>
      <c r="D27" s="133" t="s">
        <v>80</v>
      </c>
      <c r="E27" s="133">
        <v>18</v>
      </c>
      <c r="F27" s="133" t="str">
        <f t="shared" si="1"/>
        <v>0君</v>
      </c>
      <c r="G27" s="133" t="str">
        <f t="shared" si="0"/>
        <v>0君</v>
      </c>
      <c r="M27" s="113"/>
      <c r="N27" s="112"/>
      <c r="O27" s="112"/>
      <c r="P27" s="112"/>
      <c r="Q27" s="112"/>
      <c r="R27" s="112"/>
      <c r="S27" s="112"/>
      <c r="T27" s="112"/>
      <c r="U27" s="112"/>
      <c r="V27" s="112"/>
    </row>
    <row r="28" spans="1:22" ht="18" customHeight="1">
      <c r="A28" s="109">
        <v>19</v>
      </c>
      <c r="B28" s="109">
        <f>HLOOKUP($E$7,'名簿入力'!$B$3:$AK$46,21)</f>
        <v>0</v>
      </c>
      <c r="C28" s="110">
        <f>HLOOKUP($F$7,'名簿入力'!$B$3:$AK$46,21)</f>
        <v>0</v>
      </c>
      <c r="D28" s="133" t="s">
        <v>80</v>
      </c>
      <c r="E28" s="133">
        <v>19</v>
      </c>
      <c r="F28" s="133" t="str">
        <f t="shared" si="1"/>
        <v>0君</v>
      </c>
      <c r="G28" s="133" t="str">
        <f t="shared" si="0"/>
        <v>0君</v>
      </c>
      <c r="M28" s="113" t="s">
        <v>32</v>
      </c>
      <c r="N28" s="112" t="s">
        <v>27</v>
      </c>
      <c r="O28" s="270">
        <f>'内容入力'!D15</f>
        <v>0</v>
      </c>
      <c r="P28" s="270"/>
      <c r="Q28" s="270"/>
      <c r="R28" s="270"/>
      <c r="S28" s="270"/>
      <c r="T28" s="270"/>
      <c r="U28" s="270"/>
      <c r="V28" s="270"/>
    </row>
    <row r="29" spans="1:22" ht="18" customHeight="1">
      <c r="A29" s="109">
        <v>20</v>
      </c>
      <c r="B29" s="109">
        <f>HLOOKUP($E$7,'名簿入力'!$B$3:$AK$46,22)</f>
        <v>0</v>
      </c>
      <c r="C29" s="110">
        <f>HLOOKUP($F$7,'名簿入力'!$B$3:$AK$46,22)</f>
        <v>0</v>
      </c>
      <c r="D29" s="133" t="s">
        <v>80</v>
      </c>
      <c r="E29" s="133">
        <v>20</v>
      </c>
      <c r="F29" s="133" t="str">
        <f t="shared" si="1"/>
        <v>0君</v>
      </c>
      <c r="G29" s="133" t="str">
        <f t="shared" si="0"/>
        <v>0君</v>
      </c>
      <c r="M29" s="113"/>
      <c r="N29" s="112"/>
      <c r="O29" s="112"/>
      <c r="P29" s="112"/>
      <c r="Q29" s="112"/>
      <c r="R29" s="112"/>
      <c r="S29" s="112"/>
      <c r="T29" s="112"/>
      <c r="U29" s="112"/>
      <c r="V29" s="112"/>
    </row>
    <row r="30" spans="1:22" ht="18" customHeight="1">
      <c r="A30" s="109">
        <v>21</v>
      </c>
      <c r="B30" s="109">
        <f>HLOOKUP($E$7,'名簿入力'!$B$3:$AK$46,23)</f>
        <v>0</v>
      </c>
      <c r="C30" s="110">
        <f>HLOOKUP($F$7,'名簿入力'!$B$3:$AK$46,23)</f>
        <v>0</v>
      </c>
      <c r="D30" s="133" t="s">
        <v>80</v>
      </c>
      <c r="E30" s="133">
        <v>21</v>
      </c>
      <c r="F30" s="133" t="str">
        <f t="shared" si="1"/>
        <v>0君</v>
      </c>
      <c r="G30" s="133" t="str">
        <f t="shared" si="0"/>
        <v>0君</v>
      </c>
      <c r="M30" s="113" t="s">
        <v>37</v>
      </c>
      <c r="N30" s="112" t="s">
        <v>23</v>
      </c>
      <c r="O30" s="268" t="str">
        <f>'内容入力'!D19</f>
        <v>柴田尚生</v>
      </c>
      <c r="P30" s="268"/>
      <c r="Q30" s="270" t="str">
        <f>IF('内容入力'!P19&gt;1,"（"&amp;'内容入力'!F19&amp;"）","")</f>
        <v>（和賀西中学校）</v>
      </c>
      <c r="R30" s="270"/>
      <c r="S30" s="270"/>
      <c r="T30" s="118"/>
      <c r="U30" s="118"/>
      <c r="V30" s="118"/>
    </row>
    <row r="31" spans="1:22" ht="18" customHeight="1">
      <c r="A31" s="109">
        <v>22</v>
      </c>
      <c r="B31" s="109">
        <f>HLOOKUP($E$7,'名簿入力'!$B$3:$AK$46,24)</f>
        <v>0</v>
      </c>
      <c r="C31" s="110">
        <f>HLOOKUP($F$7,'名簿入力'!$B$3:$AK$46,24)</f>
        <v>0</v>
      </c>
      <c r="D31" s="133" t="s">
        <v>80</v>
      </c>
      <c r="E31" s="133">
        <v>22</v>
      </c>
      <c r="F31" s="133" t="str">
        <f t="shared" si="1"/>
        <v>0君</v>
      </c>
      <c r="G31" s="133" t="str">
        <f t="shared" si="0"/>
        <v>0君</v>
      </c>
      <c r="M31" s="112"/>
      <c r="N31" s="112"/>
      <c r="O31" s="268">
        <f>'内容入力'!D20</f>
        <v>0</v>
      </c>
      <c r="P31" s="268"/>
      <c r="Q31" s="270">
        <f>IF('内容入力'!P20&gt;1,"（"&amp;'内容入力'!F20&amp;"）","")</f>
      </c>
      <c r="R31" s="270"/>
      <c r="S31" s="270"/>
      <c r="T31" s="118"/>
      <c r="U31" s="118"/>
      <c r="V31" s="118"/>
    </row>
    <row r="32" spans="1:22" ht="18" customHeight="1">
      <c r="A32" s="109">
        <v>23</v>
      </c>
      <c r="B32" s="109">
        <f>HLOOKUP($E$7,'名簿入力'!$B$3:$AK$46,25)</f>
        <v>0</v>
      </c>
      <c r="C32" s="110">
        <f>HLOOKUP($F$7,'名簿入力'!$B$3:$AK$46,25)</f>
        <v>0</v>
      </c>
      <c r="D32" s="133" t="s">
        <v>80</v>
      </c>
      <c r="E32" s="133">
        <v>23</v>
      </c>
      <c r="F32" s="133" t="str">
        <f t="shared" si="1"/>
        <v>0君</v>
      </c>
      <c r="G32" s="133" t="str">
        <f t="shared" si="0"/>
        <v>0君</v>
      </c>
      <c r="M32" s="112"/>
      <c r="N32" s="112"/>
      <c r="O32" s="268">
        <f>'内容入力'!D21</f>
        <v>0</v>
      </c>
      <c r="P32" s="268"/>
      <c r="Q32" s="270">
        <f>IF('内容入力'!P21&gt;1,"（"&amp;'内容入力'!F21&amp;"）","")</f>
      </c>
      <c r="R32" s="270"/>
      <c r="S32" s="270"/>
      <c r="T32" s="118"/>
      <c r="U32" s="118"/>
      <c r="V32" s="118"/>
    </row>
    <row r="33" spans="1:22" ht="18" customHeight="1">
      <c r="A33" s="109">
        <v>24</v>
      </c>
      <c r="B33" s="109">
        <f>HLOOKUP($E$7,'名簿入力'!$B$3:$AK$46,26)</f>
        <v>0</v>
      </c>
      <c r="C33" s="110">
        <f>HLOOKUP($F$7,'名簿入力'!$B$3:$AK$46,26)</f>
        <v>0</v>
      </c>
      <c r="D33" s="133" t="s">
        <v>80</v>
      </c>
      <c r="E33" s="133">
        <v>24</v>
      </c>
      <c r="F33" s="133" t="str">
        <f t="shared" si="1"/>
        <v>0君</v>
      </c>
      <c r="G33" s="133" t="str">
        <f t="shared" si="0"/>
        <v>0君</v>
      </c>
      <c r="M33" s="112"/>
      <c r="N33" s="112"/>
      <c r="O33" s="268">
        <f>'内容入力'!D22</f>
        <v>0</v>
      </c>
      <c r="P33" s="268"/>
      <c r="Q33" s="270">
        <f>IF('内容入力'!P22&gt;1,"（"&amp;'内容入力'!F22&amp;"）","")</f>
      </c>
      <c r="R33" s="270"/>
      <c r="S33" s="270"/>
      <c r="T33" s="118"/>
      <c r="U33" s="118"/>
      <c r="V33" s="118"/>
    </row>
    <row r="34" spans="1:22" ht="18" customHeight="1">
      <c r="A34" s="109">
        <v>25</v>
      </c>
      <c r="B34" s="109">
        <f>HLOOKUP($E$7,'名簿入力'!$B$3:$AK$46,27)</f>
        <v>0</v>
      </c>
      <c r="C34" s="110">
        <f>HLOOKUP($F$7,'名簿入力'!$B$3:$AK$46,27)</f>
        <v>0</v>
      </c>
      <c r="D34" s="133" t="s">
        <v>80</v>
      </c>
      <c r="E34" s="133">
        <v>25</v>
      </c>
      <c r="F34" s="133" t="str">
        <f t="shared" si="1"/>
        <v>0君</v>
      </c>
      <c r="G34" s="133" t="str">
        <f t="shared" si="0"/>
        <v>0君</v>
      </c>
      <c r="M34" s="112"/>
      <c r="N34" s="112"/>
      <c r="O34" s="268">
        <f>'内容入力'!D23</f>
        <v>0</v>
      </c>
      <c r="P34" s="268"/>
      <c r="Q34" s="270">
        <f>IF('内容入力'!P23&gt;1,"（"&amp;'内容入力'!F23&amp;"）","")</f>
      </c>
      <c r="R34" s="270"/>
      <c r="S34" s="270"/>
      <c r="T34" s="118"/>
      <c r="U34" s="118"/>
      <c r="V34" s="118"/>
    </row>
    <row r="35" spans="1:22" ht="18" customHeight="1">
      <c r="A35" s="109">
        <v>26</v>
      </c>
      <c r="B35" s="109">
        <f>HLOOKUP($E$7,'名簿入力'!$B$3:$AK$46,28)</f>
        <v>0</v>
      </c>
      <c r="C35" s="110">
        <f>HLOOKUP($F$7,'名簿入力'!$B$3:$AK$46,28)</f>
        <v>0</v>
      </c>
      <c r="D35" s="133" t="s">
        <v>80</v>
      </c>
      <c r="E35" s="133">
        <v>26</v>
      </c>
      <c r="F35" s="133" t="str">
        <f t="shared" si="1"/>
        <v>0君</v>
      </c>
      <c r="G35" s="133" t="str">
        <f t="shared" si="0"/>
        <v>0君</v>
      </c>
      <c r="M35" s="112"/>
      <c r="N35" s="112"/>
      <c r="O35" s="116"/>
      <c r="P35" s="116"/>
      <c r="Q35" s="143"/>
      <c r="R35" s="143"/>
      <c r="S35" s="118"/>
      <c r="T35" s="118"/>
      <c r="U35" s="118"/>
      <c r="V35" s="118"/>
    </row>
    <row r="36" spans="1:22" ht="18" customHeight="1">
      <c r="A36" s="109">
        <v>27</v>
      </c>
      <c r="B36" s="109">
        <f>HLOOKUP($E$7,'名簿入力'!$B$3:$AK$46,29)</f>
        <v>0</v>
      </c>
      <c r="C36" s="110">
        <f>HLOOKUP($F$7,'名簿入力'!$B$3:$AK$46,29)</f>
        <v>0</v>
      </c>
      <c r="D36" s="133" t="s">
        <v>80</v>
      </c>
      <c r="E36" s="133">
        <v>27</v>
      </c>
      <c r="F36" s="133" t="str">
        <f t="shared" si="1"/>
        <v>0君</v>
      </c>
      <c r="G36" s="133" t="str">
        <f t="shared" si="0"/>
        <v>0君</v>
      </c>
      <c r="M36" s="112"/>
      <c r="N36" s="112"/>
      <c r="O36" s="116"/>
      <c r="P36" s="116"/>
      <c r="Q36" s="143"/>
      <c r="R36" s="143"/>
      <c r="S36" s="118"/>
      <c r="T36" s="118"/>
      <c r="U36" s="118"/>
      <c r="V36" s="118"/>
    </row>
    <row r="37" spans="1:22" ht="18" customHeight="1">
      <c r="A37" s="109">
        <v>28</v>
      </c>
      <c r="B37" s="109">
        <f>HLOOKUP($E$7,'名簿入力'!$B$3:$AK$46,30)</f>
        <v>0</v>
      </c>
      <c r="C37" s="110">
        <f>HLOOKUP($F$7,'名簿入力'!$B$3:$AK$46,30)</f>
        <v>0</v>
      </c>
      <c r="D37" s="133" t="s">
        <v>80</v>
      </c>
      <c r="E37" s="133">
        <v>28</v>
      </c>
      <c r="F37" s="133" t="str">
        <f t="shared" si="1"/>
        <v>0君</v>
      </c>
      <c r="G37" s="133" t="str">
        <f t="shared" si="0"/>
        <v>0君</v>
      </c>
      <c r="M37" s="112"/>
      <c r="N37" s="112"/>
      <c r="O37" s="116"/>
      <c r="P37" s="116"/>
      <c r="Q37" s="143"/>
      <c r="R37" s="143"/>
      <c r="S37" s="118"/>
      <c r="T37" s="118"/>
      <c r="U37" s="118"/>
      <c r="V37" s="118"/>
    </row>
    <row r="38" spans="1:22" ht="18" customHeight="1">
      <c r="A38" s="109">
        <v>29</v>
      </c>
      <c r="B38" s="109">
        <f>HLOOKUP($E$7,'名簿入力'!$B$3:$AK$46,31)</f>
        <v>0</v>
      </c>
      <c r="C38" s="110">
        <f>HLOOKUP($F$7,'名簿入力'!$B$3:$AK$46,31)</f>
        <v>0</v>
      </c>
      <c r="D38" s="133" t="s">
        <v>80</v>
      </c>
      <c r="E38" s="133">
        <v>29</v>
      </c>
      <c r="F38" s="133" t="str">
        <f t="shared" si="1"/>
        <v>0君</v>
      </c>
      <c r="G38" s="133" t="str">
        <f t="shared" si="0"/>
        <v>0君</v>
      </c>
      <c r="M38" s="112"/>
      <c r="N38" s="112"/>
      <c r="O38" s="116"/>
      <c r="P38" s="116"/>
      <c r="Q38" s="143"/>
      <c r="R38" s="143"/>
      <c r="S38" s="118"/>
      <c r="T38" s="118"/>
      <c r="U38" s="118"/>
      <c r="V38" s="118"/>
    </row>
    <row r="39" spans="1:22" ht="18" customHeight="1">
      <c r="A39" s="109">
        <v>30</v>
      </c>
      <c r="B39" s="109">
        <f>HLOOKUP($E$7,'名簿入力'!$B$3:$AK$46,32)</f>
        <v>0</v>
      </c>
      <c r="C39" s="110">
        <f>HLOOKUP($F$7,'名簿入力'!$B$3:$AK$46,2)</f>
        <v>0</v>
      </c>
      <c r="D39" s="133" t="s">
        <v>80</v>
      </c>
      <c r="E39" s="133">
        <v>30</v>
      </c>
      <c r="F39" s="133" t="str">
        <f t="shared" si="1"/>
        <v>0君</v>
      </c>
      <c r="G39" s="133" t="str">
        <f t="shared" si="0"/>
        <v>0君</v>
      </c>
      <c r="M39" s="112"/>
      <c r="N39" s="112"/>
      <c r="O39" s="116"/>
      <c r="P39" s="116"/>
      <c r="Q39" s="143"/>
      <c r="R39" s="143"/>
      <c r="S39" s="118"/>
      <c r="T39" s="118"/>
      <c r="U39" s="118"/>
      <c r="V39" s="118"/>
    </row>
    <row r="40" spans="1:22" ht="18" customHeight="1">
      <c r="A40" s="109">
        <v>31</v>
      </c>
      <c r="B40" s="109">
        <f>HLOOKUP($E$7,'名簿入力'!$B$3:$AK$46,33)</f>
        <v>0</v>
      </c>
      <c r="C40" s="110">
        <f>HLOOKUP($F$7,'名簿入力'!$B$3:$AK$46,33)</f>
        <v>0</v>
      </c>
      <c r="D40" s="133" t="s">
        <v>80</v>
      </c>
      <c r="E40" s="133">
        <v>31</v>
      </c>
      <c r="F40" s="133" t="str">
        <f t="shared" si="1"/>
        <v>0君</v>
      </c>
      <c r="G40" s="133" t="str">
        <f t="shared" si="0"/>
        <v>0君</v>
      </c>
      <c r="M40" s="112"/>
      <c r="N40" s="112"/>
      <c r="O40" s="116"/>
      <c r="P40" s="116"/>
      <c r="Q40" s="143"/>
      <c r="R40" s="143"/>
      <c r="S40" s="118"/>
      <c r="T40" s="118"/>
      <c r="U40" s="118"/>
      <c r="V40" s="118"/>
    </row>
    <row r="41" spans="1:22" ht="18" customHeight="1">
      <c r="A41" s="109">
        <v>32</v>
      </c>
      <c r="B41" s="109">
        <f>HLOOKUP($E$7,'名簿入力'!$B$3:$AK$46,34)</f>
        <v>0</v>
      </c>
      <c r="C41" s="110">
        <f>HLOOKUP($F$7,'名簿入力'!$B$3:$AK$46,34)</f>
        <v>0</v>
      </c>
      <c r="D41" s="133" t="s">
        <v>80</v>
      </c>
      <c r="E41" s="133">
        <v>32</v>
      </c>
      <c r="F41" s="133" t="str">
        <f t="shared" si="1"/>
        <v>0君</v>
      </c>
      <c r="G41" s="133" t="str">
        <f t="shared" si="0"/>
        <v>0君</v>
      </c>
      <c r="M41" s="112"/>
      <c r="N41" s="112"/>
      <c r="O41" s="112"/>
      <c r="P41" s="112"/>
      <c r="Q41" s="119" t="s">
        <v>46</v>
      </c>
      <c r="R41" s="285">
        <f>'内容入力'!D24</f>
        <v>0</v>
      </c>
      <c r="S41" s="285"/>
      <c r="T41" s="285"/>
      <c r="U41" s="286"/>
      <c r="V41" s="287"/>
    </row>
    <row r="42" spans="1:22" ht="18" customHeight="1">
      <c r="A42" s="109">
        <v>33</v>
      </c>
      <c r="B42" s="109">
        <f>HLOOKUP($E$7,'名簿入力'!$B$3:$AK$46,35)</f>
        <v>0</v>
      </c>
      <c r="C42" s="110">
        <f>HLOOKUP($F$7,'名簿入力'!$B$3:$AK$46,35)</f>
        <v>0</v>
      </c>
      <c r="D42" s="133" t="s">
        <v>80</v>
      </c>
      <c r="E42" s="133">
        <v>33</v>
      </c>
      <c r="F42" s="133" t="str">
        <f t="shared" si="1"/>
        <v>0君</v>
      </c>
      <c r="G42" s="133" t="str">
        <f t="shared" si="0"/>
        <v>0君</v>
      </c>
      <c r="M42" s="112"/>
      <c r="N42" s="112"/>
      <c r="O42" s="112"/>
      <c r="P42" s="112"/>
      <c r="Q42" s="120" t="s">
        <v>42</v>
      </c>
      <c r="R42" s="290">
        <f>'内容入力'!D25</f>
        <v>0</v>
      </c>
      <c r="S42" s="290"/>
      <c r="T42" s="290"/>
      <c r="U42" s="290"/>
      <c r="V42" s="121" t="s">
        <v>43</v>
      </c>
    </row>
    <row r="43" spans="1:22" ht="18" customHeight="1">
      <c r="A43" s="109">
        <v>34</v>
      </c>
      <c r="B43" s="109">
        <f>HLOOKUP($E$7,'名簿入力'!$B$3:$AK$46,36)</f>
        <v>0</v>
      </c>
      <c r="C43" s="110">
        <f>HLOOKUP($F$7,'名簿入力'!$B$3:$AK$46,36)</f>
        <v>0</v>
      </c>
      <c r="D43" s="133" t="s">
        <v>80</v>
      </c>
      <c r="E43" s="133">
        <v>34</v>
      </c>
      <c r="F43" s="133" t="str">
        <f t="shared" si="1"/>
        <v>0君</v>
      </c>
      <c r="G43" s="133" t="str">
        <f t="shared" si="0"/>
        <v>0君</v>
      </c>
      <c r="M43" s="112"/>
      <c r="N43" s="112"/>
      <c r="O43" s="112"/>
      <c r="P43" s="112"/>
      <c r="Q43" s="122"/>
      <c r="R43" s="144" t="str">
        <f>'内容入力'!B26</f>
        <v>職場</v>
      </c>
      <c r="S43" s="281">
        <f>'内容入力'!D26</f>
        <v>0</v>
      </c>
      <c r="T43" s="281"/>
      <c r="U43" s="281"/>
      <c r="V43" s="282"/>
    </row>
    <row r="44" spans="1:22" ht="18" customHeight="1">
      <c r="A44" s="109">
        <v>35</v>
      </c>
      <c r="B44" s="109">
        <f>HLOOKUP($E$7,'名簿入力'!$B$3:$AK$46,37)</f>
        <v>0</v>
      </c>
      <c r="C44" s="110">
        <f>HLOOKUP($F$7,'名簿入力'!$B$3:$AK$46,37)</f>
        <v>0</v>
      </c>
      <c r="D44" s="133" t="s">
        <v>80</v>
      </c>
      <c r="E44" s="133">
        <v>35</v>
      </c>
      <c r="F44" s="133" t="str">
        <f t="shared" si="1"/>
        <v>0君</v>
      </c>
      <c r="G44" s="133" t="str">
        <f t="shared" si="0"/>
        <v>0君</v>
      </c>
      <c r="M44" s="112"/>
      <c r="N44" s="112"/>
      <c r="O44" s="112"/>
      <c r="P44" s="112"/>
      <c r="Q44" s="124"/>
      <c r="R44" s="125" t="str">
        <f>'内容入力'!B27</f>
        <v>携帯電話</v>
      </c>
      <c r="S44" s="283">
        <f>'内容入力'!D27</f>
        <v>0</v>
      </c>
      <c r="T44" s="283"/>
      <c r="U44" s="283"/>
      <c r="V44" s="284"/>
    </row>
    <row r="45" spans="1:22" ht="18" customHeight="1">
      <c r="A45" s="109">
        <v>36</v>
      </c>
      <c r="B45" s="109">
        <f>HLOOKUP($E$7,'名簿入力'!$B$3:$AK$46,38)</f>
        <v>0</v>
      </c>
      <c r="C45" s="110">
        <f>HLOOKUP($F$7,'名簿入力'!$B$3:$AK$46,38)</f>
        <v>0</v>
      </c>
      <c r="D45" s="133" t="s">
        <v>80</v>
      </c>
      <c r="E45" s="133">
        <v>36</v>
      </c>
      <c r="F45" s="133" t="str">
        <f t="shared" si="1"/>
        <v>0君</v>
      </c>
      <c r="G45" s="133" t="str">
        <f t="shared" si="0"/>
        <v>0君</v>
      </c>
      <c r="M45" s="112"/>
      <c r="N45" s="112"/>
      <c r="O45" s="112"/>
      <c r="P45" s="112"/>
      <c r="Q45" s="112"/>
      <c r="R45" s="112"/>
      <c r="S45" s="112"/>
      <c r="T45" s="112"/>
      <c r="U45" s="112"/>
      <c r="V45" s="112"/>
    </row>
    <row r="46" spans="1:22" ht="18" customHeight="1">
      <c r="A46" s="109">
        <v>37</v>
      </c>
      <c r="B46" s="109">
        <f>HLOOKUP($E$7,'名簿入力'!$B$3:$AK$46,39)</f>
        <v>0</v>
      </c>
      <c r="C46" s="110">
        <f>HLOOKUP($F$7,'名簿入力'!$B$3:$AK$46,39)</f>
        <v>0</v>
      </c>
      <c r="D46" s="133" t="s">
        <v>80</v>
      </c>
      <c r="E46" s="133">
        <v>37</v>
      </c>
      <c r="F46" s="133" t="str">
        <f t="shared" si="1"/>
        <v>0君</v>
      </c>
      <c r="G46" s="133" t="str">
        <f t="shared" si="0"/>
        <v>0君</v>
      </c>
      <c r="M46" s="112"/>
      <c r="N46" s="112"/>
      <c r="O46" s="112"/>
      <c r="P46" s="112"/>
      <c r="Q46" s="112"/>
      <c r="R46" s="112"/>
      <c r="S46" s="112"/>
      <c r="T46" s="112"/>
      <c r="U46" s="112"/>
      <c r="V46" s="112"/>
    </row>
    <row r="47" spans="1:22" ht="18" customHeight="1">
      <c r="A47" s="109">
        <v>38</v>
      </c>
      <c r="B47" s="109">
        <f>HLOOKUP($E$7,'名簿入力'!$B$3:$AK$46,40)</f>
        <v>0</v>
      </c>
      <c r="C47" s="110">
        <f>HLOOKUP($F$7,'名簿入力'!$B$3:$AK$46,40)</f>
        <v>0</v>
      </c>
      <c r="D47" s="133" t="s">
        <v>80</v>
      </c>
      <c r="E47" s="133">
        <v>38</v>
      </c>
      <c r="F47" s="133" t="str">
        <f t="shared" si="1"/>
        <v>0君</v>
      </c>
      <c r="G47" s="133" t="str">
        <f t="shared" si="0"/>
        <v>0君</v>
      </c>
      <c r="M47" s="112"/>
      <c r="N47" s="112"/>
      <c r="O47" s="112"/>
      <c r="P47" s="112"/>
      <c r="Q47" s="112"/>
      <c r="R47" s="112"/>
      <c r="S47" s="112"/>
      <c r="T47" s="112"/>
      <c r="U47" s="112"/>
      <c r="V47" s="112"/>
    </row>
    <row r="48" spans="1:22" ht="18" customHeight="1">
      <c r="A48" s="109">
        <v>39</v>
      </c>
      <c r="B48" s="109">
        <f>HLOOKUP($E$7,'名簿入力'!$B$3:$AK$46,41)</f>
        <v>0</v>
      </c>
      <c r="C48" s="110">
        <f>HLOOKUP($F$7,'名簿入力'!$B$3:$AK$46,41)</f>
        <v>0</v>
      </c>
      <c r="D48" s="133" t="s">
        <v>80</v>
      </c>
      <c r="E48" s="133">
        <v>39</v>
      </c>
      <c r="F48" s="133" t="str">
        <f t="shared" si="1"/>
        <v>0君</v>
      </c>
      <c r="G48" s="133" t="str">
        <f t="shared" si="0"/>
        <v>0君</v>
      </c>
      <c r="M48" s="112"/>
      <c r="N48" s="112"/>
      <c r="O48" s="112"/>
      <c r="P48" s="112"/>
      <c r="Q48" s="112"/>
      <c r="R48" s="112"/>
      <c r="S48" s="112"/>
      <c r="T48" s="112"/>
      <c r="U48" s="112"/>
      <c r="V48" s="112"/>
    </row>
    <row r="49" spans="1:22" ht="18" customHeight="1">
      <c r="A49" s="109">
        <v>40</v>
      </c>
      <c r="B49" s="109">
        <f>HLOOKUP($E$7,'名簿入力'!$B$3:$AK$46,42)</f>
        <v>0</v>
      </c>
      <c r="C49" s="110">
        <f>HLOOKUP($F$7,'名簿入力'!$B$3:$AK$46,42)</f>
        <v>0</v>
      </c>
      <c r="D49" s="133" t="s">
        <v>80</v>
      </c>
      <c r="E49" s="133">
        <v>40</v>
      </c>
      <c r="F49" s="133" t="str">
        <f t="shared" si="1"/>
        <v>0君</v>
      </c>
      <c r="G49" s="133" t="str">
        <f t="shared" si="0"/>
        <v>0君</v>
      </c>
      <c r="M49" s="112"/>
      <c r="N49" s="112"/>
      <c r="O49" s="112"/>
      <c r="P49" s="112"/>
      <c r="Q49" s="112"/>
      <c r="R49" s="112"/>
      <c r="S49" s="112"/>
      <c r="T49" s="112"/>
      <c r="U49" s="112"/>
      <c r="V49" s="112"/>
    </row>
    <row r="50" spans="1:22" ht="18" customHeight="1">
      <c r="A50" s="109">
        <v>41</v>
      </c>
      <c r="B50" s="109">
        <f>HLOOKUP($E$7,'名簿入力'!$B$3:$AK$46,43)</f>
        <v>0</v>
      </c>
      <c r="C50" s="110">
        <f>HLOOKUP($F$7,'名簿入力'!$B$3:$AK$46,43)</f>
        <v>0</v>
      </c>
      <c r="D50" s="133" t="s">
        <v>80</v>
      </c>
      <c r="E50" s="133">
        <v>41</v>
      </c>
      <c r="F50" s="133" t="str">
        <f t="shared" si="1"/>
        <v>0君</v>
      </c>
      <c r="G50" s="133" t="str">
        <f t="shared" si="0"/>
        <v>0君</v>
      </c>
      <c r="M50" s="112"/>
      <c r="N50" s="112"/>
      <c r="O50" s="112"/>
      <c r="P50" s="112"/>
      <c r="Q50" s="112"/>
      <c r="R50" s="112"/>
      <c r="S50" s="112"/>
      <c r="T50" s="112"/>
      <c r="U50" s="112"/>
      <c r="V50" s="112"/>
    </row>
    <row r="51" spans="1:22" ht="18" customHeight="1">
      <c r="A51" s="109">
        <v>42</v>
      </c>
      <c r="B51" s="109">
        <f>HLOOKUP($E$7,'名簿入力'!$B$3:$AK$46,44)</f>
        <v>0</v>
      </c>
      <c r="C51" s="110">
        <f>HLOOKUP($F$7,'名簿入力'!$B$3:$AK$46,44)</f>
        <v>0</v>
      </c>
      <c r="D51" s="133" t="s">
        <v>80</v>
      </c>
      <c r="E51" s="133">
        <v>42</v>
      </c>
      <c r="F51" s="133" t="str">
        <f t="shared" si="1"/>
        <v>0君</v>
      </c>
      <c r="G51" s="133" t="str">
        <f t="shared" si="0"/>
        <v>0君</v>
      </c>
      <c r="M51" s="112"/>
      <c r="N51" s="112"/>
      <c r="O51" s="112"/>
      <c r="P51" s="112"/>
      <c r="Q51" s="112"/>
      <c r="R51" s="112"/>
      <c r="S51" s="112"/>
      <c r="T51" s="112"/>
      <c r="U51" s="112"/>
      <c r="V51" s="112"/>
    </row>
    <row r="52" spans="1:12" ht="18" customHeight="1">
      <c r="A52" s="109">
        <v>43</v>
      </c>
      <c r="B52" s="111"/>
      <c r="C52" s="110"/>
      <c r="D52" s="133" t="s">
        <v>80</v>
      </c>
      <c r="E52" s="133">
        <v>43</v>
      </c>
      <c r="F52" s="133" t="str">
        <f t="shared" si="1"/>
        <v>君</v>
      </c>
      <c r="G52" s="133" t="str">
        <f t="shared" si="0"/>
        <v>君</v>
      </c>
      <c r="L52" s="146" t="s">
        <v>223</v>
      </c>
    </row>
    <row r="53" ht="18" customHeight="1"/>
    <row r="54" spans="1:3" ht="18" customHeight="1" hidden="1">
      <c r="A54" s="302" t="s">
        <v>72</v>
      </c>
      <c r="B54" s="302"/>
      <c r="C54" s="141"/>
    </row>
    <row r="55" spans="1:3" ht="18" customHeight="1" hidden="1">
      <c r="A55" s="301" t="s">
        <v>75</v>
      </c>
      <c r="B55" s="301"/>
      <c r="C55" s="142"/>
    </row>
    <row r="56" spans="1:3" ht="18" customHeight="1" hidden="1">
      <c r="A56" s="301"/>
      <c r="B56" s="301"/>
      <c r="C56" s="142"/>
    </row>
    <row r="57" ht="18" customHeight="1" hidden="1"/>
    <row r="58" spans="1:3" ht="18" customHeight="1" hidden="1">
      <c r="A58" s="302" t="s">
        <v>92</v>
      </c>
      <c r="B58" s="302"/>
      <c r="C58" s="141"/>
    </row>
    <row r="59" spans="1:3" ht="18" customHeight="1" hidden="1">
      <c r="A59" s="302" t="s">
        <v>93</v>
      </c>
      <c r="B59" s="302"/>
      <c r="C59" s="141"/>
    </row>
    <row r="60" spans="1:3" ht="18" customHeight="1" hidden="1">
      <c r="A60" s="302"/>
      <c r="B60" s="302"/>
      <c r="C60" s="141"/>
    </row>
    <row r="61" ht="18" customHeight="1"/>
    <row r="62" ht="18" customHeight="1"/>
  </sheetData>
  <sheetProtection password="DA1F" sheet="1" objects="1" scenarios="1"/>
  <mergeCells count="43">
    <mergeCell ref="A55:B56"/>
    <mergeCell ref="A58:B58"/>
    <mergeCell ref="A59:B60"/>
    <mergeCell ref="S44:V44"/>
    <mergeCell ref="A54:B54"/>
    <mergeCell ref="R41:T41"/>
    <mergeCell ref="U41:V41"/>
    <mergeCell ref="R42:U42"/>
    <mergeCell ref="S43:V43"/>
    <mergeCell ref="O32:P32"/>
    <mergeCell ref="O34:P34"/>
    <mergeCell ref="Q34:S34"/>
    <mergeCell ref="O33:P33"/>
    <mergeCell ref="O30:P30"/>
    <mergeCell ref="O31:P31"/>
    <mergeCell ref="Q30:S30"/>
    <mergeCell ref="Q31:S31"/>
    <mergeCell ref="Q32:S32"/>
    <mergeCell ref="Q33:S33"/>
    <mergeCell ref="P25:S25"/>
    <mergeCell ref="O26:V26"/>
    <mergeCell ref="O28:V28"/>
    <mergeCell ref="O22:Q22"/>
    <mergeCell ref="O23:Q23"/>
    <mergeCell ref="O24:V24"/>
    <mergeCell ref="M16:V16"/>
    <mergeCell ref="M18:V19"/>
    <mergeCell ref="M20:V20"/>
    <mergeCell ref="U11:V11"/>
    <mergeCell ref="N13:U13"/>
    <mergeCell ref="M15:V15"/>
    <mergeCell ref="R9:V9"/>
    <mergeCell ref="R10:S10"/>
    <mergeCell ref="U10:V10"/>
    <mergeCell ref="E5:E6"/>
    <mergeCell ref="F5:F6"/>
    <mergeCell ref="T5:V5"/>
    <mergeCell ref="A4:C4"/>
    <mergeCell ref="A6:A7"/>
    <mergeCell ref="B6:B7"/>
    <mergeCell ref="E7:E8"/>
    <mergeCell ref="F7:F8"/>
    <mergeCell ref="M7:N7"/>
  </mergeCells>
  <printOptions/>
  <pageMargins left="0.7" right="0.7" top="0.56" bottom="0.39" header="0.3" footer="0.27"/>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70C0"/>
  </sheetPr>
  <dimension ref="A1:W47"/>
  <sheetViews>
    <sheetView showZeros="0" zoomScale="85" zoomScaleNormal="85" zoomScalePageLayoutView="0" workbookViewId="0" topLeftCell="A1">
      <selection activeCell="I5" sqref="I5:M5"/>
    </sheetView>
  </sheetViews>
  <sheetFormatPr defaultColWidth="9.140625" defaultRowHeight="15"/>
  <cols>
    <col min="1" max="1" width="9.00390625" style="133" customWidth="1"/>
    <col min="2" max="2" width="24.28125" style="133" customWidth="1"/>
    <col min="3" max="3" width="2.57421875" style="133" customWidth="1"/>
    <col min="4" max="10" width="9.140625" style="133" customWidth="1"/>
    <col min="11" max="11" width="2.7109375" style="133" customWidth="1"/>
    <col min="12" max="20" width="9.140625" style="133" customWidth="1"/>
    <col min="21" max="21" width="2.7109375" style="133" customWidth="1"/>
    <col min="22" max="23" width="9.140625" style="133" customWidth="1"/>
    <col min="24" max="16384" width="9.00390625" style="133" customWidth="1"/>
  </cols>
  <sheetData>
    <row r="1" spans="4:23" ht="18" customHeight="1">
      <c r="D1" s="112"/>
      <c r="E1" s="112"/>
      <c r="F1" s="112"/>
      <c r="G1" s="112"/>
      <c r="H1" s="112"/>
      <c r="I1" s="112"/>
      <c r="J1" s="112"/>
      <c r="K1" s="272">
        <f ca="1">TODAY()</f>
        <v>40749</v>
      </c>
      <c r="L1" s="272"/>
      <c r="M1" s="272"/>
      <c r="N1" s="112"/>
      <c r="O1" s="112"/>
      <c r="P1" s="112"/>
      <c r="Q1" s="112"/>
      <c r="R1" s="112"/>
      <c r="S1" s="112"/>
      <c r="T1" s="112"/>
      <c r="U1" s="272">
        <f ca="1">TODAY()</f>
        <v>40749</v>
      </c>
      <c r="V1" s="272"/>
      <c r="W1" s="272"/>
    </row>
    <row r="2" spans="1:23" ht="18" customHeight="1" thickBot="1">
      <c r="A2" s="303" t="s">
        <v>224</v>
      </c>
      <c r="B2" s="303"/>
      <c r="D2" s="112"/>
      <c r="E2" s="112"/>
      <c r="F2" s="112"/>
      <c r="G2" s="112"/>
      <c r="H2" s="112"/>
      <c r="I2" s="112"/>
      <c r="J2" s="112"/>
      <c r="K2" s="112"/>
      <c r="L2" s="112"/>
      <c r="M2" s="112"/>
      <c r="N2" s="112"/>
      <c r="O2" s="112"/>
      <c r="P2" s="112"/>
      <c r="Q2" s="112"/>
      <c r="R2" s="112"/>
      <c r="S2" s="112"/>
      <c r="T2" s="112"/>
      <c r="U2" s="112"/>
      <c r="V2" s="112"/>
      <c r="W2" s="112"/>
    </row>
    <row r="3" spans="1:23" ht="18" customHeight="1" thickBot="1" thickTop="1">
      <c r="A3" s="306" t="s">
        <v>91</v>
      </c>
      <c r="B3" s="307"/>
      <c r="D3" s="268" t="s">
        <v>62</v>
      </c>
      <c r="E3" s="268"/>
      <c r="F3" s="112"/>
      <c r="G3" s="112"/>
      <c r="H3" s="112"/>
      <c r="I3" s="112"/>
      <c r="J3" s="112"/>
      <c r="K3" s="112"/>
      <c r="L3" s="112"/>
      <c r="M3" s="112"/>
      <c r="N3" s="268" t="str">
        <f>VLOOKUP(A4,A6:B11,2)</f>
        <v>柴田尚生</v>
      </c>
      <c r="O3" s="268"/>
      <c r="P3" s="112" t="s">
        <v>66</v>
      </c>
      <c r="Q3" s="112"/>
      <c r="R3" s="112"/>
      <c r="S3" s="112"/>
      <c r="T3" s="112"/>
      <c r="U3" s="112"/>
      <c r="V3" s="112"/>
      <c r="W3" s="112"/>
    </row>
    <row r="4" spans="1:23" ht="18" customHeight="1" thickBot="1" thickTop="1">
      <c r="A4" s="304">
        <v>1</v>
      </c>
      <c r="B4" s="305"/>
      <c r="D4" s="112"/>
      <c r="E4" s="112"/>
      <c r="F4" s="112"/>
      <c r="G4" s="112"/>
      <c r="H4" s="112"/>
      <c r="I4" s="112"/>
      <c r="J4" s="112"/>
      <c r="K4" s="112"/>
      <c r="L4" s="112"/>
      <c r="M4" s="112"/>
      <c r="N4" s="112"/>
      <c r="O4" s="112"/>
      <c r="P4" s="112"/>
      <c r="Q4" s="112"/>
      <c r="R4" s="112"/>
      <c r="S4" s="112"/>
      <c r="T4" s="112"/>
      <c r="U4" s="112"/>
      <c r="V4" s="112"/>
      <c r="W4" s="112"/>
    </row>
    <row r="5" spans="1:23" ht="18" customHeight="1" thickBot="1" thickTop="1">
      <c r="A5" s="304"/>
      <c r="B5" s="305"/>
      <c r="D5" s="112"/>
      <c r="E5" s="112"/>
      <c r="F5" s="112"/>
      <c r="G5" s="112"/>
      <c r="H5" s="112"/>
      <c r="I5" s="273" t="str">
        <f>'内容入力'!D3</f>
        <v>岩手県サッカー協会</v>
      </c>
      <c r="J5" s="273"/>
      <c r="K5" s="273"/>
      <c r="L5" s="273"/>
      <c r="M5" s="273"/>
      <c r="N5" s="112"/>
      <c r="O5" s="112"/>
      <c r="P5" s="112"/>
      <c r="Q5" s="112"/>
      <c r="R5" s="112"/>
      <c r="S5" s="273" t="str">
        <f>'内容入力'!D3</f>
        <v>岩手県サッカー協会</v>
      </c>
      <c r="T5" s="273"/>
      <c r="U5" s="273"/>
      <c r="V5" s="273"/>
      <c r="W5" s="273"/>
    </row>
    <row r="6" spans="1:23" ht="18" customHeight="1" thickTop="1">
      <c r="A6" s="147"/>
      <c r="B6" s="147" t="s">
        <v>63</v>
      </c>
      <c r="D6" s="112"/>
      <c r="E6" s="112"/>
      <c r="F6" s="112"/>
      <c r="G6" s="112"/>
      <c r="H6" s="112"/>
      <c r="I6" s="273" t="str">
        <f>'内容入力'!D4</f>
        <v>会長</v>
      </c>
      <c r="J6" s="273"/>
      <c r="K6" s="112"/>
      <c r="L6" s="268" t="str">
        <f>'内容入力'!D5</f>
        <v>山本　光男</v>
      </c>
      <c r="M6" s="268"/>
      <c r="N6" s="112"/>
      <c r="O6" s="112"/>
      <c r="P6" s="112"/>
      <c r="Q6" s="112"/>
      <c r="R6" s="112"/>
      <c r="S6" s="273" t="str">
        <f>'内容入力'!D4</f>
        <v>会長</v>
      </c>
      <c r="T6" s="273"/>
      <c r="U6" s="112"/>
      <c r="V6" s="268" t="str">
        <f>'内容入力'!D5</f>
        <v>山本　光男</v>
      </c>
      <c r="W6" s="268"/>
    </row>
    <row r="7" spans="1:23" ht="18" customHeight="1">
      <c r="A7" s="109">
        <v>1</v>
      </c>
      <c r="B7" s="148" t="str">
        <f>F26</f>
        <v>柴田尚生</v>
      </c>
      <c r="D7" s="112"/>
      <c r="E7" s="112"/>
      <c r="F7" s="112"/>
      <c r="G7" s="112"/>
      <c r="H7" s="112"/>
      <c r="I7" s="112"/>
      <c r="J7" s="112"/>
      <c r="K7" s="112"/>
      <c r="L7" s="268" t="str">
        <f>IF('内容入力'!D6="公印なし","（公印省略）","")</f>
        <v>（公印省略）</v>
      </c>
      <c r="M7" s="268"/>
      <c r="N7" s="112"/>
      <c r="O7" s="112"/>
      <c r="P7" s="112"/>
      <c r="Q7" s="112"/>
      <c r="R7" s="112"/>
      <c r="S7" s="112"/>
      <c r="T7" s="112"/>
      <c r="U7" s="112"/>
      <c r="V7" s="268" t="str">
        <f>IF('内容入力'!D6="公印なし","（公印省略）","")</f>
        <v>（公印省略）</v>
      </c>
      <c r="W7" s="268"/>
    </row>
    <row r="8" spans="1:23" ht="18" customHeight="1">
      <c r="A8" s="109">
        <v>2</v>
      </c>
      <c r="B8" s="148">
        <f>F27</f>
        <v>0</v>
      </c>
      <c r="D8" s="112"/>
      <c r="E8" s="112"/>
      <c r="F8" s="112"/>
      <c r="G8" s="112"/>
      <c r="H8" s="112"/>
      <c r="I8" s="112"/>
      <c r="J8" s="112"/>
      <c r="K8" s="112"/>
      <c r="L8" s="112"/>
      <c r="M8" s="112"/>
      <c r="N8" s="112"/>
      <c r="O8" s="112"/>
      <c r="P8" s="112"/>
      <c r="Q8" s="112"/>
      <c r="R8" s="112"/>
      <c r="S8" s="112"/>
      <c r="T8" s="112"/>
      <c r="U8" s="112"/>
      <c r="V8" s="112"/>
      <c r="W8" s="112"/>
    </row>
    <row r="9" spans="1:23" ht="18" customHeight="1">
      <c r="A9" s="109">
        <v>3</v>
      </c>
      <c r="B9" s="148">
        <f>F28</f>
        <v>0</v>
      </c>
      <c r="D9" s="112"/>
      <c r="E9" s="268" t="str">
        <f>IF('内容入力'!D7="","",'内容入力'!D7&amp;"について（派遣依頼）")</f>
        <v>岩手県トレセンマッチへの参加について（派遣依頼）</v>
      </c>
      <c r="F9" s="268"/>
      <c r="G9" s="268"/>
      <c r="H9" s="268"/>
      <c r="I9" s="268"/>
      <c r="J9" s="268"/>
      <c r="K9" s="268"/>
      <c r="L9" s="268"/>
      <c r="M9" s="112"/>
      <c r="N9" s="112"/>
      <c r="O9" s="268" t="str">
        <f>IF('内容入力'!D7="","",'内容入力'!D7&amp;"について（協力依頼）")</f>
        <v>岩手県トレセンマッチへの参加について（協力依頼）</v>
      </c>
      <c r="P9" s="268"/>
      <c r="Q9" s="268"/>
      <c r="R9" s="268"/>
      <c r="S9" s="268"/>
      <c r="T9" s="268"/>
      <c r="U9" s="268"/>
      <c r="V9" s="268"/>
      <c r="W9" s="112"/>
    </row>
    <row r="10" spans="1:23" ht="18" customHeight="1">
      <c r="A10" s="109">
        <v>4</v>
      </c>
      <c r="B10" s="148">
        <f>F29</f>
        <v>0</v>
      </c>
      <c r="D10" s="112"/>
      <c r="E10" s="112"/>
      <c r="F10" s="112"/>
      <c r="G10" s="112"/>
      <c r="H10" s="112"/>
      <c r="I10" s="112"/>
      <c r="J10" s="112"/>
      <c r="K10" s="112"/>
      <c r="L10" s="112"/>
      <c r="M10" s="112"/>
      <c r="N10" s="112"/>
      <c r="O10" s="112"/>
      <c r="P10" s="112"/>
      <c r="Q10" s="112"/>
      <c r="R10" s="112"/>
      <c r="S10" s="112"/>
      <c r="T10" s="112"/>
      <c r="U10" s="112"/>
      <c r="V10" s="112"/>
      <c r="W10" s="112"/>
    </row>
    <row r="11" spans="1:23" ht="18" customHeight="1">
      <c r="A11" s="109">
        <v>5</v>
      </c>
      <c r="B11" s="148">
        <f>F30</f>
        <v>0</v>
      </c>
      <c r="D11" s="270" t="str">
        <f>VLOOKUP('内容入力'!S6,'内容入力'!R7:S18,2)&amp;'内容入力'!R19</f>
        <v>　盛夏の候、皆様におかれましてはますますご健勝のこととお慶び申し上げます。</v>
      </c>
      <c r="E11" s="270"/>
      <c r="F11" s="270"/>
      <c r="G11" s="270"/>
      <c r="H11" s="270"/>
      <c r="I11" s="270"/>
      <c r="J11" s="270"/>
      <c r="K11" s="270"/>
      <c r="L11" s="270"/>
      <c r="M11" s="270"/>
      <c r="N11" s="270" t="str">
        <f>VLOOKUP('内容入力'!S6,'内容入力'!R7:S18,2)&amp;'内容入力'!R19</f>
        <v>　盛夏の候、皆様におかれましてはますますご健勝のこととお慶び申し上げます。</v>
      </c>
      <c r="O11" s="270"/>
      <c r="P11" s="270"/>
      <c r="Q11" s="270"/>
      <c r="R11" s="270"/>
      <c r="S11" s="270"/>
      <c r="T11" s="270"/>
      <c r="U11" s="270"/>
      <c r="V11" s="270"/>
      <c r="W11" s="270"/>
    </row>
    <row r="12" spans="1:23" ht="18" customHeight="1">
      <c r="A12" s="308" t="s">
        <v>65</v>
      </c>
      <c r="B12" s="308"/>
      <c r="D12" s="270" t="s">
        <v>24</v>
      </c>
      <c r="E12" s="270"/>
      <c r="F12" s="270"/>
      <c r="G12" s="270"/>
      <c r="H12" s="270"/>
      <c r="I12" s="270"/>
      <c r="J12" s="270"/>
      <c r="K12" s="270"/>
      <c r="L12" s="270"/>
      <c r="M12" s="270"/>
      <c r="N12" s="270" t="s">
        <v>24</v>
      </c>
      <c r="O12" s="270"/>
      <c r="P12" s="270"/>
      <c r="Q12" s="270"/>
      <c r="R12" s="270"/>
      <c r="S12" s="270"/>
      <c r="T12" s="270"/>
      <c r="U12" s="270"/>
      <c r="V12" s="270"/>
      <c r="W12" s="270"/>
    </row>
    <row r="13" spans="1:23" ht="18" customHeight="1">
      <c r="A13" s="309"/>
      <c r="B13" s="309"/>
      <c r="D13" s="112" t="s">
        <v>61</v>
      </c>
      <c r="E13" s="112"/>
      <c r="F13" s="112"/>
      <c r="G13" s="112"/>
      <c r="H13" s="112"/>
      <c r="I13" s="112"/>
      <c r="J13" s="112"/>
      <c r="K13" s="112"/>
      <c r="L13" s="112"/>
      <c r="M13" s="112"/>
      <c r="N13" s="112" t="s">
        <v>61</v>
      </c>
      <c r="O13" s="112"/>
      <c r="P13" s="112"/>
      <c r="Q13" s="112"/>
      <c r="R13" s="112"/>
      <c r="S13" s="112"/>
      <c r="T13" s="112"/>
      <c r="U13" s="112"/>
      <c r="V13" s="112"/>
      <c r="W13" s="112"/>
    </row>
    <row r="14" spans="1:23" ht="18" customHeight="1">
      <c r="A14" s="310" t="s">
        <v>64</v>
      </c>
      <c r="B14" s="310"/>
      <c r="D14" s="274" t="str">
        <f>IF(タイトル!A48=48,A12&amp;VLOOKUP(A4,A7:B11,2,0)&amp;A14,'名簿入力'!A48)</f>
        <v>　つきましては、貴所属の　柴田尚生　様の派遣につきまして特段のご配慮を賜りますようお願いいたします。</v>
      </c>
      <c r="E14" s="274"/>
      <c r="F14" s="274"/>
      <c r="G14" s="274"/>
      <c r="H14" s="274"/>
      <c r="I14" s="274"/>
      <c r="J14" s="274"/>
      <c r="K14" s="274"/>
      <c r="L14" s="274"/>
      <c r="M14" s="274"/>
      <c r="N14" s="274" t="str">
        <f>IF(タイトル!A48=48,"　つきましては、ご多忙中のところとは存じますが、ご協力いただきますようお願い申し上げます。",'名簿入力'!A49)</f>
        <v>　つきましては、ご多忙中のところとは存じますが、ご協力いただきますようお願い申し上げます。</v>
      </c>
      <c r="O14" s="274"/>
      <c r="P14" s="274"/>
      <c r="Q14" s="274"/>
      <c r="R14" s="274"/>
      <c r="S14" s="274"/>
      <c r="T14" s="274"/>
      <c r="U14" s="274"/>
      <c r="V14" s="274"/>
      <c r="W14" s="274"/>
    </row>
    <row r="15" spans="1:23" ht="18" customHeight="1">
      <c r="A15" s="310"/>
      <c r="B15" s="310"/>
      <c r="D15" s="274"/>
      <c r="E15" s="274"/>
      <c r="F15" s="274"/>
      <c r="G15" s="274"/>
      <c r="H15" s="274"/>
      <c r="I15" s="274"/>
      <c r="J15" s="274"/>
      <c r="K15" s="274"/>
      <c r="L15" s="274"/>
      <c r="M15" s="274"/>
      <c r="N15" s="274"/>
      <c r="O15" s="274"/>
      <c r="P15" s="274"/>
      <c r="Q15" s="274"/>
      <c r="R15" s="274"/>
      <c r="S15" s="274"/>
      <c r="T15" s="274"/>
      <c r="U15" s="274"/>
      <c r="V15" s="274"/>
      <c r="W15" s="274"/>
    </row>
    <row r="16" spans="4:23" ht="18" customHeight="1">
      <c r="D16" s="269" t="s">
        <v>21</v>
      </c>
      <c r="E16" s="269"/>
      <c r="F16" s="269"/>
      <c r="G16" s="269"/>
      <c r="H16" s="269"/>
      <c r="I16" s="269"/>
      <c r="J16" s="269"/>
      <c r="K16" s="269"/>
      <c r="L16" s="269"/>
      <c r="M16" s="269"/>
      <c r="N16" s="269" t="s">
        <v>21</v>
      </c>
      <c r="O16" s="269"/>
      <c r="P16" s="269"/>
      <c r="Q16" s="269"/>
      <c r="R16" s="269"/>
      <c r="S16" s="269"/>
      <c r="T16" s="269"/>
      <c r="U16" s="269"/>
      <c r="V16" s="269"/>
      <c r="W16" s="269"/>
    </row>
    <row r="17" spans="4:23" ht="18" customHeight="1">
      <c r="D17" s="112"/>
      <c r="E17" s="112"/>
      <c r="F17" s="112"/>
      <c r="G17" s="112"/>
      <c r="H17" s="112"/>
      <c r="I17" s="112"/>
      <c r="J17" s="112"/>
      <c r="K17" s="112"/>
      <c r="L17" s="112"/>
      <c r="M17" s="112"/>
      <c r="N17" s="112"/>
      <c r="O17" s="112"/>
      <c r="P17" s="112"/>
      <c r="Q17" s="112"/>
      <c r="R17" s="112"/>
      <c r="S17" s="112"/>
      <c r="T17" s="112"/>
      <c r="U17" s="112"/>
      <c r="V17" s="112"/>
      <c r="W17" s="112"/>
    </row>
    <row r="18" spans="4:23" ht="18" customHeight="1">
      <c r="D18" s="113" t="s">
        <v>29</v>
      </c>
      <c r="E18" s="112" t="s">
        <v>25</v>
      </c>
      <c r="F18" s="268">
        <f>'内容入力'!D8</f>
        <v>0</v>
      </c>
      <c r="G18" s="268"/>
      <c r="H18" s="268"/>
      <c r="I18" s="112"/>
      <c r="J18" s="114">
        <f>'内容入力'!D10</f>
        <v>0</v>
      </c>
      <c r="K18" s="115" t="s">
        <v>34</v>
      </c>
      <c r="L18" s="114">
        <f>IF('内容入力'!P9&gt;1,"",'内容入力'!D11)</f>
        <v>0</v>
      </c>
      <c r="M18" s="112"/>
      <c r="N18" s="113" t="s">
        <v>29</v>
      </c>
      <c r="O18" s="112" t="s">
        <v>25</v>
      </c>
      <c r="P18" s="268">
        <f>'内容入力'!D8</f>
        <v>0</v>
      </c>
      <c r="Q18" s="268"/>
      <c r="R18" s="268"/>
      <c r="S18" s="112"/>
      <c r="T18" s="114">
        <f>'内容入力'!D10</f>
        <v>0</v>
      </c>
      <c r="U18" s="115" t="s">
        <v>34</v>
      </c>
      <c r="V18" s="114">
        <f>IF('内容入力'!P9&gt;1,"",'内容入力'!D11)</f>
        <v>0</v>
      </c>
      <c r="W18" s="112"/>
    </row>
    <row r="19" spans="4:23" ht="18" customHeight="1">
      <c r="D19" s="113"/>
      <c r="E19" s="112"/>
      <c r="F19" s="268">
        <f>IF('内容入力'!P9&gt;1,'内容入力'!D9,"")</f>
      </c>
      <c r="G19" s="268"/>
      <c r="H19" s="268"/>
      <c r="I19" s="112"/>
      <c r="J19" s="114">
        <f>IF('内容入力'!P9&gt;1,'内容入力'!D12,"")</f>
      </c>
      <c r="K19" s="115"/>
      <c r="L19" s="112"/>
      <c r="M19" s="112"/>
      <c r="N19" s="113"/>
      <c r="O19" s="112"/>
      <c r="P19" s="268">
        <f>IF('内容入力'!P9&gt;1,'内容入力'!D9,"")</f>
      </c>
      <c r="Q19" s="268"/>
      <c r="R19" s="268"/>
      <c r="S19" s="112"/>
      <c r="T19" s="114">
        <f>IF('内容入力'!P9&gt;1,'内容入力'!D12,"")</f>
      </c>
      <c r="U19" s="115"/>
      <c r="V19" s="112"/>
      <c r="W19" s="112"/>
    </row>
    <row r="20" spans="4:23" ht="18" customHeight="1">
      <c r="D20" s="113" t="s">
        <v>30</v>
      </c>
      <c r="E20" s="112" t="s">
        <v>26</v>
      </c>
      <c r="F20" s="270">
        <f>'内容入力'!D13</f>
        <v>0</v>
      </c>
      <c r="G20" s="270"/>
      <c r="H20" s="270"/>
      <c r="I20" s="270"/>
      <c r="J20" s="270"/>
      <c r="K20" s="270"/>
      <c r="L20" s="270"/>
      <c r="M20" s="270"/>
      <c r="N20" s="113" t="s">
        <v>30</v>
      </c>
      <c r="O20" s="112" t="s">
        <v>26</v>
      </c>
      <c r="P20" s="270">
        <f>'内容入力'!D13</f>
        <v>0</v>
      </c>
      <c r="Q20" s="270"/>
      <c r="R20" s="270"/>
      <c r="S20" s="270"/>
      <c r="T20" s="270"/>
      <c r="U20" s="270"/>
      <c r="V20" s="270"/>
      <c r="W20" s="270"/>
    </row>
    <row r="21" spans="4:23" ht="18" customHeight="1">
      <c r="D21" s="113"/>
      <c r="E21" s="112"/>
      <c r="F21" s="271"/>
      <c r="G21" s="271"/>
      <c r="H21" s="271"/>
      <c r="I21" s="271"/>
      <c r="J21" s="271"/>
      <c r="K21" s="112"/>
      <c r="L21" s="112"/>
      <c r="M21" s="112"/>
      <c r="N21" s="113"/>
      <c r="O21" s="112"/>
      <c r="P21" s="271"/>
      <c r="Q21" s="271"/>
      <c r="R21" s="271"/>
      <c r="S21" s="271"/>
      <c r="T21" s="271"/>
      <c r="U21" s="112"/>
      <c r="V21" s="112"/>
      <c r="W21" s="112"/>
    </row>
    <row r="22" spans="4:23" ht="18" customHeight="1">
      <c r="D22" s="113" t="s">
        <v>31</v>
      </c>
      <c r="E22" s="112" t="s">
        <v>28</v>
      </c>
      <c r="F22" s="270">
        <f>'内容入力'!D14</f>
        <v>0</v>
      </c>
      <c r="G22" s="270"/>
      <c r="H22" s="270"/>
      <c r="I22" s="270"/>
      <c r="J22" s="270"/>
      <c r="K22" s="270"/>
      <c r="L22" s="270"/>
      <c r="M22" s="270"/>
      <c r="N22" s="113" t="s">
        <v>31</v>
      </c>
      <c r="O22" s="112" t="s">
        <v>28</v>
      </c>
      <c r="P22" s="270">
        <f>'内容入力'!D14</f>
        <v>0</v>
      </c>
      <c r="Q22" s="270"/>
      <c r="R22" s="270"/>
      <c r="S22" s="270"/>
      <c r="T22" s="270"/>
      <c r="U22" s="270"/>
      <c r="V22" s="270"/>
      <c r="W22" s="270"/>
    </row>
    <row r="23" spans="4:23" ht="18" customHeight="1">
      <c r="D23" s="113"/>
      <c r="E23" s="112"/>
      <c r="F23" s="112"/>
      <c r="G23" s="112"/>
      <c r="H23" s="112"/>
      <c r="I23" s="112"/>
      <c r="J23" s="112"/>
      <c r="K23" s="112"/>
      <c r="L23" s="112"/>
      <c r="M23" s="112"/>
      <c r="N23" s="113"/>
      <c r="O23" s="112"/>
      <c r="P23" s="112"/>
      <c r="Q23" s="112"/>
      <c r="R23" s="112"/>
      <c r="S23" s="112"/>
      <c r="T23" s="112"/>
      <c r="U23" s="112"/>
      <c r="V23" s="112"/>
      <c r="W23" s="112"/>
    </row>
    <row r="24" spans="4:23" ht="18" customHeight="1">
      <c r="D24" s="113" t="s">
        <v>32</v>
      </c>
      <c r="E24" s="112" t="s">
        <v>27</v>
      </c>
      <c r="F24" s="270">
        <f>'内容入力'!D15</f>
        <v>0</v>
      </c>
      <c r="G24" s="270"/>
      <c r="H24" s="270"/>
      <c r="I24" s="270"/>
      <c r="J24" s="270"/>
      <c r="K24" s="270"/>
      <c r="L24" s="270"/>
      <c r="M24" s="270"/>
      <c r="N24" s="113" t="s">
        <v>32</v>
      </c>
      <c r="O24" s="112" t="s">
        <v>27</v>
      </c>
      <c r="P24" s="270">
        <f>'内容入力'!D15</f>
        <v>0</v>
      </c>
      <c r="Q24" s="270"/>
      <c r="R24" s="270"/>
      <c r="S24" s="270"/>
      <c r="T24" s="270"/>
      <c r="U24" s="270"/>
      <c r="V24" s="270"/>
      <c r="W24" s="270"/>
    </row>
    <row r="25" spans="4:23" ht="18" customHeight="1">
      <c r="D25" s="113"/>
      <c r="E25" s="112"/>
      <c r="F25" s="112"/>
      <c r="G25" s="112"/>
      <c r="H25" s="112"/>
      <c r="I25" s="112"/>
      <c r="J25" s="112"/>
      <c r="K25" s="112"/>
      <c r="L25" s="112"/>
      <c r="M25" s="112"/>
      <c r="N25" s="113"/>
      <c r="O25" s="112"/>
      <c r="P25" s="112"/>
      <c r="Q25" s="112"/>
      <c r="R25" s="112"/>
      <c r="S25" s="112"/>
      <c r="T25" s="112"/>
      <c r="U25" s="112"/>
      <c r="V25" s="112"/>
      <c r="W25" s="112"/>
    </row>
    <row r="26" spans="4:23" ht="18" customHeight="1">
      <c r="D26" s="113" t="s">
        <v>37</v>
      </c>
      <c r="E26" s="112" t="s">
        <v>23</v>
      </c>
      <c r="F26" s="268" t="str">
        <f>'内容入力'!D19</f>
        <v>柴田尚生</v>
      </c>
      <c r="G26" s="268"/>
      <c r="H26" s="270" t="str">
        <f>IF('内容入力'!P19&gt;1,"（"&amp;'内容入力'!F19&amp;"）","")</f>
        <v>（和賀西中学校）</v>
      </c>
      <c r="I26" s="270"/>
      <c r="J26" s="270"/>
      <c r="K26" s="118"/>
      <c r="L26" s="118"/>
      <c r="M26" s="118"/>
      <c r="N26" s="113" t="s">
        <v>37</v>
      </c>
      <c r="O26" s="112" t="s">
        <v>23</v>
      </c>
      <c r="P26" s="268" t="str">
        <f>'内容入力'!D19</f>
        <v>柴田尚生</v>
      </c>
      <c r="Q26" s="268"/>
      <c r="R26" s="270" t="str">
        <f>IF('内容入力'!P19&gt;1,"（"&amp;'内容入力'!F19&amp;"）","")</f>
        <v>（和賀西中学校）</v>
      </c>
      <c r="S26" s="270"/>
      <c r="T26" s="270"/>
      <c r="U26" s="118"/>
      <c r="V26" s="118"/>
      <c r="W26" s="118"/>
    </row>
    <row r="27" spans="4:23" ht="18" customHeight="1">
      <c r="D27" s="112"/>
      <c r="E27" s="112"/>
      <c r="F27" s="268">
        <f>'内容入力'!D20</f>
        <v>0</v>
      </c>
      <c r="G27" s="268"/>
      <c r="H27" s="270">
        <f>IF('内容入力'!P20&gt;1,"（"&amp;'内容入力'!F20&amp;"）","")</f>
      </c>
      <c r="I27" s="270"/>
      <c r="J27" s="270"/>
      <c r="K27" s="118"/>
      <c r="L27" s="118"/>
      <c r="M27" s="118"/>
      <c r="N27" s="112"/>
      <c r="O27" s="112"/>
      <c r="P27" s="268">
        <f>'内容入力'!D20</f>
        <v>0</v>
      </c>
      <c r="Q27" s="268"/>
      <c r="R27" s="270">
        <f>IF('内容入力'!P20&gt;1,"（"&amp;'内容入力'!F20&amp;"）","")</f>
      </c>
      <c r="S27" s="270"/>
      <c r="T27" s="270"/>
      <c r="U27" s="118"/>
      <c r="V27" s="118"/>
      <c r="W27" s="118"/>
    </row>
    <row r="28" spans="4:23" ht="18" customHeight="1">
      <c r="D28" s="112"/>
      <c r="E28" s="112"/>
      <c r="F28" s="268">
        <f>'内容入力'!D21</f>
        <v>0</v>
      </c>
      <c r="G28" s="268"/>
      <c r="H28" s="270">
        <f>IF('内容入力'!P21&gt;1,"（"&amp;'内容入力'!F21&amp;"）","")</f>
      </c>
      <c r="I28" s="270"/>
      <c r="J28" s="270"/>
      <c r="K28" s="118"/>
      <c r="L28" s="118"/>
      <c r="M28" s="118"/>
      <c r="N28" s="112"/>
      <c r="O28" s="112"/>
      <c r="P28" s="268">
        <f>'内容入力'!D21</f>
        <v>0</v>
      </c>
      <c r="Q28" s="268"/>
      <c r="R28" s="270">
        <f>IF('内容入力'!P21&gt;1,"（"&amp;'内容入力'!F21&amp;"）","")</f>
      </c>
      <c r="S28" s="270"/>
      <c r="T28" s="270"/>
      <c r="U28" s="118"/>
      <c r="V28" s="118"/>
      <c r="W28" s="118"/>
    </row>
    <row r="29" spans="4:23" ht="18" customHeight="1">
      <c r="D29" s="112"/>
      <c r="E29" s="112"/>
      <c r="F29" s="268">
        <f>'内容入力'!D22</f>
        <v>0</v>
      </c>
      <c r="G29" s="268"/>
      <c r="H29" s="270">
        <f>IF('内容入力'!P22&gt;1,"（"&amp;'内容入力'!F22&amp;"）","")</f>
      </c>
      <c r="I29" s="270"/>
      <c r="J29" s="270"/>
      <c r="K29" s="118"/>
      <c r="L29" s="118"/>
      <c r="M29" s="118"/>
      <c r="N29" s="112"/>
      <c r="O29" s="112"/>
      <c r="P29" s="268">
        <f>'内容入力'!D22</f>
        <v>0</v>
      </c>
      <c r="Q29" s="268"/>
      <c r="R29" s="270">
        <f>IF('内容入力'!P22&gt;1,"（"&amp;'内容入力'!F22&amp;"）","")</f>
      </c>
      <c r="S29" s="270"/>
      <c r="T29" s="270"/>
      <c r="U29" s="118"/>
      <c r="V29" s="118"/>
      <c r="W29" s="118"/>
    </row>
    <row r="30" spans="4:23" ht="18" customHeight="1">
      <c r="D30" s="112"/>
      <c r="E30" s="112"/>
      <c r="F30" s="268">
        <f>'内容入力'!D23</f>
        <v>0</v>
      </c>
      <c r="G30" s="268"/>
      <c r="H30" s="270">
        <f>IF('内容入力'!P23&gt;1,"（"&amp;'内容入力'!F23&amp;"）","")</f>
      </c>
      <c r="I30" s="270"/>
      <c r="J30" s="270"/>
      <c r="K30" s="118"/>
      <c r="L30" s="118"/>
      <c r="M30" s="118"/>
      <c r="N30" s="112"/>
      <c r="O30" s="112"/>
      <c r="P30" s="268">
        <f>'内容入力'!D23</f>
        <v>0</v>
      </c>
      <c r="Q30" s="268"/>
      <c r="R30" s="270">
        <f>IF('内容入力'!P23&gt;1,"（"&amp;'内容入力'!F23&amp;"）","")</f>
      </c>
      <c r="S30" s="270"/>
      <c r="T30" s="270"/>
      <c r="U30" s="118"/>
      <c r="V30" s="118"/>
      <c r="W30" s="118"/>
    </row>
    <row r="31" spans="4:23" ht="18" customHeight="1">
      <c r="D31" s="112"/>
      <c r="E31" s="112"/>
      <c r="F31" s="116"/>
      <c r="G31" s="116"/>
      <c r="H31" s="143"/>
      <c r="I31" s="143"/>
      <c r="J31" s="118"/>
      <c r="K31" s="118"/>
      <c r="L31" s="118"/>
      <c r="M31" s="118"/>
      <c r="N31" s="112"/>
      <c r="O31" s="112"/>
      <c r="P31" s="116"/>
      <c r="Q31" s="116"/>
      <c r="R31" s="143"/>
      <c r="S31" s="143"/>
      <c r="T31" s="118"/>
      <c r="U31" s="118"/>
      <c r="V31" s="118"/>
      <c r="W31" s="118"/>
    </row>
    <row r="32" spans="4:23" ht="18" customHeight="1">
      <c r="D32" s="112"/>
      <c r="E32" s="112"/>
      <c r="F32" s="116"/>
      <c r="G32" s="116"/>
      <c r="H32" s="143"/>
      <c r="I32" s="143"/>
      <c r="J32" s="118"/>
      <c r="K32" s="118"/>
      <c r="L32" s="118"/>
      <c r="M32" s="118"/>
      <c r="N32" s="112"/>
      <c r="O32" s="112"/>
      <c r="P32" s="116"/>
      <c r="Q32" s="116"/>
      <c r="R32" s="143"/>
      <c r="S32" s="143"/>
      <c r="T32" s="118"/>
      <c r="U32" s="118"/>
      <c r="V32" s="118"/>
      <c r="W32" s="118"/>
    </row>
    <row r="33" spans="4:23" ht="18" customHeight="1">
      <c r="D33" s="112"/>
      <c r="E33" s="112"/>
      <c r="F33" s="116"/>
      <c r="G33" s="116"/>
      <c r="H33" s="143"/>
      <c r="I33" s="143"/>
      <c r="J33" s="118"/>
      <c r="K33" s="118"/>
      <c r="L33" s="118"/>
      <c r="M33" s="118"/>
      <c r="N33" s="112"/>
      <c r="O33" s="112"/>
      <c r="P33" s="116"/>
      <c r="Q33" s="116"/>
      <c r="R33" s="143"/>
      <c r="S33" s="143"/>
      <c r="T33" s="118"/>
      <c r="U33" s="118"/>
      <c r="V33" s="118"/>
      <c r="W33" s="118"/>
    </row>
    <row r="34" spans="4:23" ht="18" customHeight="1">
      <c r="D34" s="112"/>
      <c r="E34" s="112"/>
      <c r="F34" s="116"/>
      <c r="G34" s="116"/>
      <c r="H34" s="143"/>
      <c r="I34" s="143"/>
      <c r="J34" s="118"/>
      <c r="K34" s="118"/>
      <c r="L34" s="118"/>
      <c r="M34" s="118"/>
      <c r="N34" s="112"/>
      <c r="O34" s="112"/>
      <c r="P34" s="116"/>
      <c r="Q34" s="116"/>
      <c r="R34" s="143"/>
      <c r="S34" s="143"/>
      <c r="T34" s="118"/>
      <c r="U34" s="118"/>
      <c r="V34" s="118"/>
      <c r="W34" s="118"/>
    </row>
    <row r="35" spans="4:23" ht="18" customHeight="1">
      <c r="D35" s="112"/>
      <c r="E35" s="112"/>
      <c r="F35" s="116"/>
      <c r="G35" s="116"/>
      <c r="H35" s="143"/>
      <c r="I35" s="143"/>
      <c r="J35" s="118"/>
      <c r="K35" s="118"/>
      <c r="L35" s="118"/>
      <c r="M35" s="118"/>
      <c r="N35" s="112"/>
      <c r="O35" s="112"/>
      <c r="P35" s="116"/>
      <c r="Q35" s="116"/>
      <c r="R35" s="143"/>
      <c r="S35" s="143"/>
      <c r="T35" s="118"/>
      <c r="U35" s="118"/>
      <c r="V35" s="118"/>
      <c r="W35" s="118"/>
    </row>
    <row r="36" spans="4:23" ht="18" customHeight="1">
      <c r="D36" s="112"/>
      <c r="E36" s="112"/>
      <c r="F36" s="116"/>
      <c r="G36" s="116"/>
      <c r="H36" s="143"/>
      <c r="I36" s="143"/>
      <c r="J36" s="118"/>
      <c r="K36" s="118"/>
      <c r="L36" s="118"/>
      <c r="M36" s="118"/>
      <c r="N36" s="112"/>
      <c r="O36" s="112"/>
      <c r="P36" s="116"/>
      <c r="Q36" s="116"/>
      <c r="R36" s="143"/>
      <c r="S36" s="143"/>
      <c r="T36" s="118"/>
      <c r="U36" s="118"/>
      <c r="V36" s="118"/>
      <c r="W36" s="118"/>
    </row>
    <row r="37" spans="4:23" ht="18" customHeight="1">
      <c r="D37" s="112"/>
      <c r="E37" s="112"/>
      <c r="F37" s="112"/>
      <c r="G37" s="112"/>
      <c r="H37" s="119" t="s">
        <v>46</v>
      </c>
      <c r="I37" s="285">
        <f>'内容入力'!D24</f>
        <v>0</v>
      </c>
      <c r="J37" s="285"/>
      <c r="K37" s="285"/>
      <c r="L37" s="286"/>
      <c r="M37" s="287"/>
      <c r="N37" s="112"/>
      <c r="O37" s="112"/>
      <c r="P37" s="112"/>
      <c r="Q37" s="112"/>
      <c r="R37" s="119" t="s">
        <v>46</v>
      </c>
      <c r="S37" s="285">
        <f>'内容入力'!D24</f>
        <v>0</v>
      </c>
      <c r="T37" s="285"/>
      <c r="U37" s="285"/>
      <c r="V37" s="286"/>
      <c r="W37" s="287"/>
    </row>
    <row r="38" spans="4:23" ht="18" customHeight="1">
      <c r="D38" s="112"/>
      <c r="E38" s="112"/>
      <c r="F38" s="112"/>
      <c r="G38" s="112"/>
      <c r="H38" s="120" t="s">
        <v>42</v>
      </c>
      <c r="I38" s="290">
        <f>'内容入力'!D25</f>
        <v>0</v>
      </c>
      <c r="J38" s="290"/>
      <c r="K38" s="290"/>
      <c r="L38" s="290"/>
      <c r="M38" s="121" t="s">
        <v>43</v>
      </c>
      <c r="N38" s="112"/>
      <c r="O38" s="112"/>
      <c r="P38" s="112"/>
      <c r="Q38" s="112"/>
      <c r="R38" s="120" t="s">
        <v>42</v>
      </c>
      <c r="S38" s="290">
        <f>'内容入力'!D25</f>
        <v>0</v>
      </c>
      <c r="T38" s="290"/>
      <c r="U38" s="290"/>
      <c r="V38" s="290"/>
      <c r="W38" s="121" t="s">
        <v>43</v>
      </c>
    </row>
    <row r="39" spans="4:23" ht="18" customHeight="1">
      <c r="D39" s="112"/>
      <c r="E39" s="112"/>
      <c r="F39" s="112"/>
      <c r="G39" s="112"/>
      <c r="H39" s="122"/>
      <c r="I39" s="123" t="str">
        <f>'内容入力'!B26</f>
        <v>職場</v>
      </c>
      <c r="J39" s="281">
        <f>'内容入力'!D26</f>
        <v>0</v>
      </c>
      <c r="K39" s="281"/>
      <c r="L39" s="281"/>
      <c r="M39" s="282"/>
      <c r="N39" s="112"/>
      <c r="O39" s="112"/>
      <c r="P39" s="112"/>
      <c r="Q39" s="112"/>
      <c r="R39" s="122"/>
      <c r="S39" s="123" t="str">
        <f>'内容入力'!B26</f>
        <v>職場</v>
      </c>
      <c r="T39" s="281">
        <f>'内容入力'!D26</f>
        <v>0</v>
      </c>
      <c r="U39" s="281"/>
      <c r="V39" s="281"/>
      <c r="W39" s="282"/>
    </row>
    <row r="40" spans="4:23" ht="18" customHeight="1">
      <c r="D40" s="112"/>
      <c r="E40" s="112"/>
      <c r="F40" s="112"/>
      <c r="G40" s="112"/>
      <c r="H40" s="124"/>
      <c r="I40" s="125" t="str">
        <f>'内容入力'!B27</f>
        <v>携帯電話</v>
      </c>
      <c r="J40" s="283">
        <f>'内容入力'!D27</f>
        <v>0</v>
      </c>
      <c r="K40" s="283"/>
      <c r="L40" s="283"/>
      <c r="M40" s="284"/>
      <c r="N40" s="112"/>
      <c r="O40" s="112"/>
      <c r="P40" s="112"/>
      <c r="Q40" s="112"/>
      <c r="R40" s="124"/>
      <c r="S40" s="125" t="str">
        <f>'内容入力'!B27</f>
        <v>携帯電話</v>
      </c>
      <c r="T40" s="283">
        <f>'内容入力'!D27</f>
        <v>0</v>
      </c>
      <c r="U40" s="283"/>
      <c r="V40" s="283"/>
      <c r="W40" s="284"/>
    </row>
    <row r="41" spans="4:23" ht="18" customHeight="1">
      <c r="D41" s="112"/>
      <c r="E41" s="112"/>
      <c r="F41" s="112"/>
      <c r="G41" s="112"/>
      <c r="H41" s="112"/>
      <c r="I41" s="112"/>
      <c r="J41" s="112"/>
      <c r="K41" s="112"/>
      <c r="L41" s="112"/>
      <c r="M41" s="112"/>
      <c r="N41" s="112"/>
      <c r="O41" s="112"/>
      <c r="P41" s="112"/>
      <c r="Q41" s="112"/>
      <c r="R41" s="112"/>
      <c r="S41" s="112"/>
      <c r="T41" s="112"/>
      <c r="U41" s="112"/>
      <c r="V41" s="112"/>
      <c r="W41" s="112"/>
    </row>
    <row r="42" spans="4:23" ht="18" customHeight="1">
      <c r="D42" s="112"/>
      <c r="E42" s="112"/>
      <c r="F42" s="112"/>
      <c r="G42" s="112"/>
      <c r="H42" s="112"/>
      <c r="I42" s="112"/>
      <c r="J42" s="112"/>
      <c r="K42" s="112"/>
      <c r="L42" s="112"/>
      <c r="M42" s="112"/>
      <c r="N42" s="112"/>
      <c r="O42" s="112"/>
      <c r="P42" s="112"/>
      <c r="Q42" s="112"/>
      <c r="R42" s="112"/>
      <c r="S42" s="112"/>
      <c r="T42" s="112"/>
      <c r="U42" s="112"/>
      <c r="V42" s="112"/>
      <c r="W42" s="112"/>
    </row>
    <row r="43" spans="4:23" ht="18" customHeight="1">
      <c r="D43" s="112"/>
      <c r="E43" s="112"/>
      <c r="F43" s="112"/>
      <c r="G43" s="112"/>
      <c r="H43" s="112"/>
      <c r="I43" s="112"/>
      <c r="J43" s="112"/>
      <c r="K43" s="112"/>
      <c r="L43" s="112"/>
      <c r="M43" s="112"/>
      <c r="N43" s="112"/>
      <c r="O43" s="112"/>
      <c r="P43" s="112"/>
      <c r="Q43" s="112"/>
      <c r="R43" s="112"/>
      <c r="S43" s="112"/>
      <c r="T43" s="112"/>
      <c r="U43" s="112"/>
      <c r="V43" s="112"/>
      <c r="W43" s="112"/>
    </row>
    <row r="44" spans="4:23" ht="18" customHeight="1">
      <c r="D44" s="112"/>
      <c r="E44" s="112"/>
      <c r="F44" s="112"/>
      <c r="G44" s="112"/>
      <c r="H44" s="112"/>
      <c r="I44" s="112"/>
      <c r="J44" s="112"/>
      <c r="K44" s="112"/>
      <c r="L44" s="112"/>
      <c r="M44" s="112"/>
      <c r="N44" s="112"/>
      <c r="O44" s="112"/>
      <c r="P44" s="112"/>
      <c r="Q44" s="112"/>
      <c r="R44" s="112"/>
      <c r="S44" s="112"/>
      <c r="T44" s="112"/>
      <c r="U44" s="112"/>
      <c r="V44" s="112"/>
      <c r="W44" s="112"/>
    </row>
    <row r="45" spans="4:23" ht="18" customHeight="1">
      <c r="D45" s="112"/>
      <c r="E45" s="112"/>
      <c r="F45" s="112"/>
      <c r="G45" s="112"/>
      <c r="H45" s="112"/>
      <c r="I45" s="112"/>
      <c r="J45" s="112"/>
      <c r="K45" s="112"/>
      <c r="L45" s="112"/>
      <c r="M45" s="112"/>
      <c r="N45" s="112"/>
      <c r="O45" s="112"/>
      <c r="P45" s="112"/>
      <c r="Q45" s="112"/>
      <c r="R45" s="112"/>
      <c r="S45" s="112"/>
      <c r="T45" s="112"/>
      <c r="U45" s="112"/>
      <c r="V45" s="112"/>
      <c r="W45" s="112"/>
    </row>
    <row r="46" spans="4:23" ht="18" customHeight="1">
      <c r="D46" s="112"/>
      <c r="E46" s="112"/>
      <c r="F46" s="112"/>
      <c r="G46" s="112"/>
      <c r="H46" s="112"/>
      <c r="I46" s="112"/>
      <c r="J46" s="112"/>
      <c r="K46" s="112"/>
      <c r="L46" s="112"/>
      <c r="M46" s="112"/>
      <c r="N46" s="112"/>
      <c r="O46" s="112"/>
      <c r="P46" s="112"/>
      <c r="Q46" s="112"/>
      <c r="R46" s="112"/>
      <c r="S46" s="112"/>
      <c r="T46" s="112"/>
      <c r="U46" s="112"/>
      <c r="V46" s="112"/>
      <c r="W46" s="112"/>
    </row>
    <row r="47" spans="4:23" ht="18" customHeight="1">
      <c r="D47" s="112"/>
      <c r="E47" s="112"/>
      <c r="F47" s="112"/>
      <c r="G47" s="112"/>
      <c r="H47" s="112"/>
      <c r="I47" s="112"/>
      <c r="J47" s="112"/>
      <c r="K47" s="112"/>
      <c r="L47" s="112"/>
      <c r="M47" s="112"/>
      <c r="N47" s="112"/>
      <c r="O47" s="112"/>
      <c r="P47" s="112"/>
      <c r="Q47" s="112"/>
      <c r="R47" s="112"/>
      <c r="S47" s="112"/>
      <c r="T47" s="112"/>
      <c r="U47" s="112"/>
      <c r="V47" s="112"/>
      <c r="W47" s="112"/>
    </row>
    <row r="48" ht="18" customHeight="1"/>
    <row r="49" ht="18" customHeight="1"/>
    <row r="50" ht="18" customHeight="1"/>
    <row r="51" ht="18" customHeight="1"/>
    <row r="52" ht="18" customHeight="1"/>
    <row r="53" ht="18" customHeight="1"/>
    <row r="54" ht="18" customHeight="1"/>
    <row r="55" ht="18" customHeight="1"/>
  </sheetData>
  <sheetProtection password="DA1F" sheet="1" objects="1" scenarios="1"/>
  <mergeCells count="69">
    <mergeCell ref="F22:M22"/>
    <mergeCell ref="F24:M24"/>
    <mergeCell ref="F19:H19"/>
    <mergeCell ref="H26:J26"/>
    <mergeCell ref="H27:J27"/>
    <mergeCell ref="H28:J28"/>
    <mergeCell ref="D14:M15"/>
    <mergeCell ref="F21:J21"/>
    <mergeCell ref="H29:J29"/>
    <mergeCell ref="H30:J30"/>
    <mergeCell ref="A12:B13"/>
    <mergeCell ref="A14:B15"/>
    <mergeCell ref="F26:G26"/>
    <mergeCell ref="F27:G27"/>
    <mergeCell ref="F28:G28"/>
    <mergeCell ref="F20:M20"/>
    <mergeCell ref="J40:M40"/>
    <mergeCell ref="F29:G29"/>
    <mergeCell ref="F30:G30"/>
    <mergeCell ref="I37:K37"/>
    <mergeCell ref="L37:M37"/>
    <mergeCell ref="J39:M39"/>
    <mergeCell ref="I38:L38"/>
    <mergeCell ref="A3:B3"/>
    <mergeCell ref="V7:W7"/>
    <mergeCell ref="U1:W1"/>
    <mergeCell ref="N3:O3"/>
    <mergeCell ref="S5:W5"/>
    <mergeCell ref="S6:T6"/>
    <mergeCell ref="V6:W6"/>
    <mergeCell ref="L7:M7"/>
    <mergeCell ref="K1:M1"/>
    <mergeCell ref="D3:E3"/>
    <mergeCell ref="E9:L9"/>
    <mergeCell ref="O9:V9"/>
    <mergeCell ref="D12:M12"/>
    <mergeCell ref="D16:M16"/>
    <mergeCell ref="F18:H18"/>
    <mergeCell ref="A4:B5"/>
    <mergeCell ref="I5:M5"/>
    <mergeCell ref="I6:J6"/>
    <mergeCell ref="L6:M6"/>
    <mergeCell ref="D11:M11"/>
    <mergeCell ref="R27:T27"/>
    <mergeCell ref="N11:W11"/>
    <mergeCell ref="N12:W12"/>
    <mergeCell ref="N14:W15"/>
    <mergeCell ref="N16:W16"/>
    <mergeCell ref="P18:R18"/>
    <mergeCell ref="R30:T30"/>
    <mergeCell ref="P21:T21"/>
    <mergeCell ref="S38:V38"/>
    <mergeCell ref="T39:W39"/>
    <mergeCell ref="P19:R19"/>
    <mergeCell ref="P20:W20"/>
    <mergeCell ref="P22:W22"/>
    <mergeCell ref="P24:W24"/>
    <mergeCell ref="P26:Q26"/>
    <mergeCell ref="R26:T26"/>
    <mergeCell ref="A2:B2"/>
    <mergeCell ref="T40:W40"/>
    <mergeCell ref="P29:Q29"/>
    <mergeCell ref="P30:Q30"/>
    <mergeCell ref="S37:U37"/>
    <mergeCell ref="V37:W37"/>
    <mergeCell ref="P27:Q27"/>
    <mergeCell ref="P28:Q28"/>
    <mergeCell ref="R28:T28"/>
    <mergeCell ref="R29:T29"/>
  </mergeCells>
  <dataValidations count="1">
    <dataValidation allowBlank="1" showInputMessage="1" showErrorMessage="1" prompt="印刷するスタッフの番号を入力してください。" sqref="A4"/>
  </dataValidations>
  <printOptions/>
  <pageMargins left="0.7" right="0.7" top="0.58" bottom="0.39" header="0.3" footer="0.27"/>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70C0"/>
  </sheetPr>
  <dimension ref="A1:R42"/>
  <sheetViews>
    <sheetView showZeros="0" zoomScalePageLayoutView="0" workbookViewId="0" topLeftCell="A1">
      <selection activeCell="R8" sqref="R8"/>
    </sheetView>
  </sheetViews>
  <sheetFormatPr defaultColWidth="9.140625" defaultRowHeight="15"/>
  <cols>
    <col min="1" max="1" width="4.7109375" style="149" customWidth="1"/>
    <col min="2" max="2" width="17.8515625" style="150" customWidth="1"/>
    <col min="3" max="3" width="7.57421875" style="150" customWidth="1"/>
    <col min="4" max="4" width="16.421875" style="150" customWidth="1"/>
    <col min="5" max="12" width="9.00390625" style="149" customWidth="1"/>
    <col min="13" max="13" width="9.00390625" style="149" hidden="1" customWidth="1"/>
    <col min="14" max="17" width="9.00390625" style="150" hidden="1" customWidth="1"/>
    <col min="18" max="18" width="9.00390625" style="149" customWidth="1"/>
    <col min="19" max="16384" width="9.00390625" style="149" customWidth="1"/>
  </cols>
  <sheetData>
    <row r="1" spans="1:18" ht="27.75" customHeight="1" thickBot="1">
      <c r="A1" s="311" t="str">
        <f>N16&amp;"　　選手名簿"</f>
        <v>0　　選手名簿</v>
      </c>
      <c r="B1" s="311"/>
      <c r="C1" s="311"/>
      <c r="D1" s="311"/>
      <c r="E1" s="311"/>
      <c r="F1" s="311"/>
      <c r="G1" s="318"/>
      <c r="H1" s="318"/>
      <c r="I1" s="318"/>
      <c r="K1" s="153" t="s">
        <v>220</v>
      </c>
      <c r="L1" s="153"/>
      <c r="M1" s="153"/>
      <c r="N1" s="154"/>
      <c r="O1" s="154"/>
      <c r="P1" s="154"/>
      <c r="Q1" s="154"/>
      <c r="R1" s="153"/>
    </row>
    <row r="2" spans="1:17" ht="19.5" customHeight="1" thickBot="1" thickTop="1">
      <c r="A2" s="155"/>
      <c r="B2" s="156" t="s">
        <v>77</v>
      </c>
      <c r="C2" s="157" t="s">
        <v>142</v>
      </c>
      <c r="D2" s="156" t="s">
        <v>78</v>
      </c>
      <c r="E2" s="158"/>
      <c r="F2" s="158"/>
      <c r="G2" s="158"/>
      <c r="H2" s="158"/>
      <c r="I2" s="158"/>
      <c r="K2" s="314" t="s">
        <v>79</v>
      </c>
      <c r="L2" s="315"/>
      <c r="N2" s="150" t="s">
        <v>81</v>
      </c>
      <c r="O2" s="150" t="s">
        <v>142</v>
      </c>
      <c r="P2" s="150" t="s">
        <v>82</v>
      </c>
      <c r="Q2" s="151" t="s">
        <v>83</v>
      </c>
    </row>
    <row r="3" spans="1:17" ht="19.5" customHeight="1" thickBot="1" thickTop="1">
      <c r="A3" s="156">
        <v>1</v>
      </c>
      <c r="B3" s="156" t="str">
        <f>HLOOKUP($Q$3,'名簿入力'!$B$3:$AK$46,5)</f>
        <v>柴田尚生</v>
      </c>
      <c r="C3" s="156">
        <f>HLOOKUP($Q$6,'名簿入力'!$B$3:$AK$46,5)</f>
        <v>0</v>
      </c>
      <c r="D3" s="156">
        <f>HLOOKUP($Q$9,'名簿入力'!$B$3:$AK$46,5)</f>
        <v>0</v>
      </c>
      <c r="E3" s="158"/>
      <c r="F3" s="158"/>
      <c r="G3" s="158"/>
      <c r="H3" s="158"/>
      <c r="I3" s="158"/>
      <c r="K3" s="316">
        <v>1</v>
      </c>
      <c r="L3" s="317"/>
      <c r="M3" s="149">
        <v>1</v>
      </c>
      <c r="N3" s="150">
        <v>1</v>
      </c>
      <c r="O3" s="150">
        <v>2</v>
      </c>
      <c r="P3" s="150">
        <v>3</v>
      </c>
      <c r="Q3" s="313">
        <f>VLOOKUP(K3,M2:P14,2)</f>
        <v>1</v>
      </c>
    </row>
    <row r="4" spans="1:17" ht="19.5" customHeight="1" thickBot="1" thickTop="1">
      <c r="A4" s="156">
        <v>2</v>
      </c>
      <c r="B4" s="156">
        <f>HLOOKUP($Q$3,'名簿入力'!$B$3:$AK$46,6)</f>
        <v>0</v>
      </c>
      <c r="C4" s="156">
        <f>HLOOKUP($Q$6,'名簿入力'!$B$3:$AK$46,6)</f>
        <v>0</v>
      </c>
      <c r="D4" s="156">
        <f>HLOOKUP($Q$9,'名簿入力'!$B$3:$AK$46,6)</f>
        <v>0</v>
      </c>
      <c r="E4" s="158"/>
      <c r="F4" s="158"/>
      <c r="G4" s="158"/>
      <c r="H4" s="158"/>
      <c r="I4" s="158"/>
      <c r="K4" s="316"/>
      <c r="L4" s="317"/>
      <c r="M4" s="149">
        <v>2</v>
      </c>
      <c r="N4" s="150">
        <v>4</v>
      </c>
      <c r="O4" s="150">
        <v>5</v>
      </c>
      <c r="P4" s="150">
        <v>6</v>
      </c>
      <c r="Q4" s="313"/>
    </row>
    <row r="5" spans="1:17" ht="19.5" customHeight="1" thickBot="1" thickTop="1">
      <c r="A5" s="156">
        <v>3</v>
      </c>
      <c r="B5" s="156">
        <f>HLOOKUP($Q$3,'名簿入力'!$B$3:$AK$46,7)</f>
        <v>0</v>
      </c>
      <c r="C5" s="156">
        <f>HLOOKUP($Q$6,'名簿入力'!$B$3:$AK$46,7)</f>
        <v>0</v>
      </c>
      <c r="D5" s="156">
        <f>HLOOKUP($Q$9,'名簿入力'!$B$3:$AK$46,7)</f>
        <v>0</v>
      </c>
      <c r="E5" s="158"/>
      <c r="F5" s="158"/>
      <c r="G5" s="158"/>
      <c r="H5" s="158"/>
      <c r="I5" s="158"/>
      <c r="M5" s="149">
        <v>3</v>
      </c>
      <c r="N5" s="150">
        <v>7</v>
      </c>
      <c r="O5" s="150">
        <v>8</v>
      </c>
      <c r="P5" s="150">
        <v>9</v>
      </c>
      <c r="Q5" s="152" t="s">
        <v>143</v>
      </c>
    </row>
    <row r="6" spans="1:17" ht="19.5" customHeight="1" thickBot="1" thickTop="1">
      <c r="A6" s="156">
        <v>4</v>
      </c>
      <c r="B6" s="156">
        <f>HLOOKUP($Q$3,'名簿入力'!$B$3:$AK$46,8)</f>
        <v>0</v>
      </c>
      <c r="C6" s="156">
        <f>HLOOKUP($Q$6,'名簿入力'!$B$3:$AK$46,8)</f>
        <v>0</v>
      </c>
      <c r="D6" s="156">
        <f>HLOOKUP($Q$9,'名簿入力'!$B$3:$AK$46,8)</f>
        <v>0</v>
      </c>
      <c r="E6" s="158"/>
      <c r="F6" s="158"/>
      <c r="G6" s="158"/>
      <c r="H6" s="158"/>
      <c r="I6" s="158"/>
      <c r="M6" s="149">
        <v>4</v>
      </c>
      <c r="N6" s="150">
        <v>10</v>
      </c>
      <c r="O6" s="150">
        <v>11</v>
      </c>
      <c r="P6" s="150">
        <v>12</v>
      </c>
      <c r="Q6" s="313">
        <f>VLOOKUP(K3,M3:P14,3)</f>
        <v>2</v>
      </c>
    </row>
    <row r="7" spans="1:17" ht="19.5" customHeight="1" thickBot="1" thickTop="1">
      <c r="A7" s="156">
        <v>5</v>
      </c>
      <c r="B7" s="156">
        <f>HLOOKUP($Q$3,'名簿入力'!$B$3:$AK$46,9)</f>
        <v>0</v>
      </c>
      <c r="C7" s="156">
        <f>HLOOKUP($Q$6,'名簿入力'!$B$3:$AK$46,9)</f>
        <v>0</v>
      </c>
      <c r="D7" s="156">
        <f>HLOOKUP($Q$9,'名簿入力'!$B$3:$AK$46,9)</f>
        <v>0</v>
      </c>
      <c r="E7" s="158"/>
      <c r="F7" s="158"/>
      <c r="G7" s="158"/>
      <c r="H7" s="158"/>
      <c r="I7" s="158"/>
      <c r="M7" s="149">
        <v>5</v>
      </c>
      <c r="N7" s="150">
        <v>13</v>
      </c>
      <c r="O7" s="150">
        <v>14</v>
      </c>
      <c r="P7" s="150">
        <v>15</v>
      </c>
      <c r="Q7" s="313"/>
    </row>
    <row r="8" spans="1:17" ht="19.5" customHeight="1" thickBot="1" thickTop="1">
      <c r="A8" s="156">
        <v>6</v>
      </c>
      <c r="B8" s="156">
        <f>HLOOKUP($Q$3,'名簿入力'!$B$3:$AK$46,10)</f>
        <v>0</v>
      </c>
      <c r="C8" s="156">
        <f>HLOOKUP($Q$6,'名簿入力'!$B$3:$AK$46,10)</f>
        <v>0</v>
      </c>
      <c r="D8" s="156">
        <f>HLOOKUP($Q$9,'名簿入力'!$B$3:$AK$46,10)</f>
        <v>0</v>
      </c>
      <c r="E8" s="158"/>
      <c r="F8" s="158"/>
      <c r="G8" s="158"/>
      <c r="H8" s="158"/>
      <c r="I8" s="158"/>
      <c r="M8" s="149">
        <v>6</v>
      </c>
      <c r="N8" s="150">
        <v>16</v>
      </c>
      <c r="O8" s="150">
        <v>17</v>
      </c>
      <c r="P8" s="150">
        <v>18</v>
      </c>
      <c r="Q8" s="151" t="s">
        <v>84</v>
      </c>
    </row>
    <row r="9" spans="1:17" ht="19.5" customHeight="1" thickBot="1" thickTop="1">
      <c r="A9" s="156">
        <v>7</v>
      </c>
      <c r="B9" s="156">
        <f>HLOOKUP($Q$3,'名簿入力'!$B$3:$AK$46,11)</f>
        <v>0</v>
      </c>
      <c r="C9" s="156">
        <f>HLOOKUP($Q$6,'名簿入力'!$B$3:$AK$46,11)</f>
        <v>0</v>
      </c>
      <c r="D9" s="156">
        <f>HLOOKUP($Q$9,'名簿入力'!$B$3:$AK$46,11)</f>
        <v>0</v>
      </c>
      <c r="E9" s="158"/>
      <c r="F9" s="158"/>
      <c r="G9" s="158"/>
      <c r="H9" s="158"/>
      <c r="I9" s="158"/>
      <c r="M9" s="149">
        <v>7</v>
      </c>
      <c r="N9" s="150">
        <v>19</v>
      </c>
      <c r="O9" s="150">
        <v>20</v>
      </c>
      <c r="P9" s="150">
        <v>21</v>
      </c>
      <c r="Q9" s="313">
        <f>VLOOKUP(K3,M3:P14,4)</f>
        <v>3</v>
      </c>
    </row>
    <row r="10" spans="1:17" ht="19.5" customHeight="1" thickBot="1" thickTop="1">
      <c r="A10" s="156">
        <v>8</v>
      </c>
      <c r="B10" s="156">
        <f>HLOOKUP($Q$3,'名簿入力'!$B$3:$AK$46,12)</f>
        <v>0</v>
      </c>
      <c r="C10" s="156">
        <f>HLOOKUP($Q$6,'名簿入力'!$B$3:$AK$46,12)</f>
        <v>0</v>
      </c>
      <c r="D10" s="156">
        <f>HLOOKUP($Q$9,'名簿入力'!$B$3:$AK$46,12)</f>
        <v>0</v>
      </c>
      <c r="E10" s="158"/>
      <c r="F10" s="158"/>
      <c r="G10" s="158"/>
      <c r="H10" s="158"/>
      <c r="I10" s="158"/>
      <c r="M10" s="149">
        <v>8</v>
      </c>
      <c r="N10" s="150">
        <v>22</v>
      </c>
      <c r="O10" s="150">
        <v>23</v>
      </c>
      <c r="P10" s="150">
        <v>24</v>
      </c>
      <c r="Q10" s="313"/>
    </row>
    <row r="11" spans="1:16" ht="19.5" customHeight="1" thickTop="1">
      <c r="A11" s="156">
        <v>9</v>
      </c>
      <c r="B11" s="156">
        <f>HLOOKUP($Q$3,'名簿入力'!$B$3:$AK$46,13)</f>
        <v>0</v>
      </c>
      <c r="C11" s="156">
        <f>HLOOKUP($Q$6,'名簿入力'!$B$3:$AK$46,13)</f>
        <v>0</v>
      </c>
      <c r="D11" s="156">
        <f>HLOOKUP($Q$9,'名簿入力'!$B$3:$AK$46,13)</f>
        <v>0</v>
      </c>
      <c r="E11" s="158"/>
      <c r="F11" s="158"/>
      <c r="G11" s="158"/>
      <c r="H11" s="158"/>
      <c r="I11" s="158"/>
      <c r="M11" s="149">
        <v>9</v>
      </c>
      <c r="N11" s="150">
        <v>25</v>
      </c>
      <c r="O11" s="150">
        <v>26</v>
      </c>
      <c r="P11" s="150">
        <v>27</v>
      </c>
    </row>
    <row r="12" spans="1:16" ht="19.5" customHeight="1">
      <c r="A12" s="156">
        <v>10</v>
      </c>
      <c r="B12" s="156">
        <f>HLOOKUP($Q$3,'名簿入力'!$B$3:$AK$46,14)</f>
        <v>0</v>
      </c>
      <c r="C12" s="156">
        <f>HLOOKUP($Q$6,'名簿入力'!$B$3:$AK$46,14)</f>
        <v>0</v>
      </c>
      <c r="D12" s="156">
        <f>HLOOKUP($Q$9,'名簿入力'!$B$3:$AK$46,14)</f>
        <v>0</v>
      </c>
      <c r="E12" s="158"/>
      <c r="F12" s="158"/>
      <c r="G12" s="158"/>
      <c r="H12" s="158"/>
      <c r="I12" s="158"/>
      <c r="M12" s="149">
        <v>10</v>
      </c>
      <c r="N12" s="150">
        <v>28</v>
      </c>
      <c r="O12" s="150">
        <v>29</v>
      </c>
      <c r="P12" s="150">
        <v>30</v>
      </c>
    </row>
    <row r="13" spans="1:16" ht="19.5" customHeight="1">
      <c r="A13" s="156">
        <v>11</v>
      </c>
      <c r="B13" s="156">
        <f>HLOOKUP($Q$3,'名簿入力'!$B$3:$AK$46,15)</f>
        <v>0</v>
      </c>
      <c r="C13" s="156">
        <f>HLOOKUP($Q$6,'名簿入力'!$B$3:$AK$46,15)</f>
        <v>0</v>
      </c>
      <c r="D13" s="156">
        <f>HLOOKUP($Q$9,'名簿入力'!$B$3:$AK$46,15)</f>
        <v>0</v>
      </c>
      <c r="E13" s="158"/>
      <c r="F13" s="158"/>
      <c r="G13" s="158"/>
      <c r="H13" s="158"/>
      <c r="I13" s="158"/>
      <c r="M13" s="149">
        <v>11</v>
      </c>
      <c r="N13" s="150">
        <v>31</v>
      </c>
      <c r="O13" s="150">
        <v>32</v>
      </c>
      <c r="P13" s="150">
        <v>33</v>
      </c>
    </row>
    <row r="14" spans="1:16" ht="19.5" customHeight="1">
      <c r="A14" s="156">
        <v>12</v>
      </c>
      <c r="B14" s="156">
        <f>HLOOKUP($Q$3,'名簿入力'!$B$3:$AK$46,16)</f>
        <v>0</v>
      </c>
      <c r="C14" s="156">
        <f>HLOOKUP($Q$6,'名簿入力'!$B$3:$AK$46,16)</f>
        <v>0</v>
      </c>
      <c r="D14" s="156">
        <f>HLOOKUP($Q$9,'名簿入力'!$B$3:$AK$46,16)</f>
        <v>0</v>
      </c>
      <c r="E14" s="158"/>
      <c r="F14" s="158"/>
      <c r="G14" s="158"/>
      <c r="H14" s="158"/>
      <c r="I14" s="158"/>
      <c r="M14" s="149">
        <v>12</v>
      </c>
      <c r="N14" s="150">
        <v>34</v>
      </c>
      <c r="O14" s="150">
        <v>35</v>
      </c>
      <c r="P14" s="150">
        <v>36</v>
      </c>
    </row>
    <row r="15" spans="1:9" ht="19.5" customHeight="1">
      <c r="A15" s="156">
        <v>13</v>
      </c>
      <c r="B15" s="156">
        <f>HLOOKUP($Q$3,'名簿入力'!$B$3:$AK$46,17)</f>
        <v>0</v>
      </c>
      <c r="C15" s="156">
        <f>HLOOKUP($Q$6,'名簿入力'!$B$3:$AK$46,17)</f>
        <v>0</v>
      </c>
      <c r="D15" s="156">
        <f>HLOOKUP($Q$9,'名簿入力'!$B$3:$AK$46,17)</f>
        <v>0</v>
      </c>
      <c r="E15" s="158"/>
      <c r="F15" s="158"/>
      <c r="G15" s="158"/>
      <c r="H15" s="158"/>
      <c r="I15" s="158"/>
    </row>
    <row r="16" spans="1:16" ht="19.5" customHeight="1">
      <c r="A16" s="156">
        <v>14</v>
      </c>
      <c r="B16" s="156">
        <f>HLOOKUP($Q$3,'名簿入力'!$B$3:$AK$46,18)</f>
        <v>0</v>
      </c>
      <c r="C16" s="156">
        <f>HLOOKUP($Q$6,'名簿入力'!$B$3:$AK$46,18)</f>
        <v>0</v>
      </c>
      <c r="D16" s="156">
        <f>HLOOKUP($Q$9,'名簿入力'!$B$3:$AK$46,18)</f>
        <v>0</v>
      </c>
      <c r="E16" s="158"/>
      <c r="F16" s="158"/>
      <c r="G16" s="158"/>
      <c r="H16" s="158"/>
      <c r="I16" s="158"/>
      <c r="N16" s="312">
        <f>HLOOKUP(Q3,'名簿入力'!B3:AK4,2)</f>
        <v>0</v>
      </c>
      <c r="O16" s="312"/>
      <c r="P16" s="312"/>
    </row>
    <row r="17" spans="1:9" ht="19.5" customHeight="1">
      <c r="A17" s="156">
        <v>15</v>
      </c>
      <c r="B17" s="156">
        <f>HLOOKUP($Q$3,'名簿入力'!$B$3:$AK$46,19)</f>
        <v>0</v>
      </c>
      <c r="C17" s="156">
        <f>HLOOKUP($Q$6,'名簿入力'!$B$3:$AK$46,19)</f>
        <v>0</v>
      </c>
      <c r="D17" s="156">
        <f>HLOOKUP($Q$9,'名簿入力'!$B$3:$AK$46,19)</f>
        <v>0</v>
      </c>
      <c r="E17" s="158"/>
      <c r="F17" s="158"/>
      <c r="G17" s="158"/>
      <c r="H17" s="158"/>
      <c r="I17" s="158"/>
    </row>
    <row r="18" spans="1:9" ht="19.5" customHeight="1">
      <c r="A18" s="156">
        <v>16</v>
      </c>
      <c r="B18" s="156">
        <f>HLOOKUP($Q$3,'名簿入力'!$B$3:$AK$46,20)</f>
        <v>0</v>
      </c>
      <c r="C18" s="156">
        <f>HLOOKUP($Q$6,'名簿入力'!$B$3:$AK$46,20)</f>
        <v>0</v>
      </c>
      <c r="D18" s="156">
        <f>HLOOKUP($Q$9,'名簿入力'!$B$3:$AK$46,20)</f>
        <v>0</v>
      </c>
      <c r="E18" s="158"/>
      <c r="F18" s="158"/>
      <c r="G18" s="158"/>
      <c r="H18" s="158"/>
      <c r="I18" s="158"/>
    </row>
    <row r="19" spans="1:9" ht="19.5" customHeight="1">
      <c r="A19" s="156">
        <v>17</v>
      </c>
      <c r="B19" s="156">
        <f>HLOOKUP($Q$3,'名簿入力'!$B$3:$AK$46,21)</f>
        <v>0</v>
      </c>
      <c r="C19" s="156">
        <f>HLOOKUP($Q$6,'名簿入力'!$B$3:$AK$46,21)</f>
        <v>0</v>
      </c>
      <c r="D19" s="156">
        <f>HLOOKUP($Q$9,'名簿入力'!$B$3:$AK$46,21)</f>
        <v>0</v>
      </c>
      <c r="E19" s="158"/>
      <c r="F19" s="158"/>
      <c r="G19" s="158"/>
      <c r="H19" s="158"/>
      <c r="I19" s="158"/>
    </row>
    <row r="20" spans="1:9" ht="19.5" customHeight="1">
      <c r="A20" s="156">
        <v>18</v>
      </c>
      <c r="B20" s="156">
        <f>HLOOKUP($Q$3,'名簿入力'!$B$3:$AK$46,22)</f>
        <v>0</v>
      </c>
      <c r="C20" s="156">
        <f>HLOOKUP($Q$6,'名簿入力'!$B$3:$AK$46,22)</f>
        <v>0</v>
      </c>
      <c r="D20" s="156">
        <f>HLOOKUP($Q$9,'名簿入力'!$B$3:$AK$46,22)</f>
        <v>0</v>
      </c>
      <c r="E20" s="158"/>
      <c r="F20" s="158"/>
      <c r="G20" s="158"/>
      <c r="H20" s="158"/>
      <c r="I20" s="158"/>
    </row>
    <row r="21" spans="1:9" ht="19.5" customHeight="1">
      <c r="A21" s="156">
        <v>19</v>
      </c>
      <c r="B21" s="156">
        <f>HLOOKUP($Q$3,'名簿入力'!$B$3:$AK$46,23)</f>
        <v>0</v>
      </c>
      <c r="C21" s="156">
        <f>HLOOKUP($Q$6,'名簿入力'!$B$3:$AK$46,23)</f>
        <v>0</v>
      </c>
      <c r="D21" s="156">
        <f>HLOOKUP($Q$9,'名簿入力'!$B$3:$AK$46,23)</f>
        <v>0</v>
      </c>
      <c r="E21" s="158"/>
      <c r="F21" s="158"/>
      <c r="G21" s="158"/>
      <c r="H21" s="158"/>
      <c r="I21" s="158"/>
    </row>
    <row r="22" spans="1:9" ht="19.5" customHeight="1">
      <c r="A22" s="156">
        <v>20</v>
      </c>
      <c r="B22" s="156">
        <f>HLOOKUP($Q$3,'名簿入力'!$B$3:$AK$46,24)</f>
        <v>0</v>
      </c>
      <c r="C22" s="156">
        <f>HLOOKUP($Q$6,'名簿入力'!$B$3:$AK$46,24)</f>
        <v>0</v>
      </c>
      <c r="D22" s="156">
        <f>HLOOKUP($Q$9,'名簿入力'!$B$3:$AK$46,24)</f>
        <v>0</v>
      </c>
      <c r="E22" s="158"/>
      <c r="F22" s="158"/>
      <c r="G22" s="158"/>
      <c r="H22" s="158"/>
      <c r="I22" s="158"/>
    </row>
    <row r="23" spans="1:9" ht="19.5" customHeight="1">
      <c r="A23" s="156">
        <v>21</v>
      </c>
      <c r="B23" s="156">
        <f>HLOOKUP($Q$3,'名簿入力'!$B$3:$AK$46,25)</f>
        <v>0</v>
      </c>
      <c r="C23" s="156">
        <f>HLOOKUP($Q$6,'名簿入力'!$B$3:$AK$46,25)</f>
        <v>0</v>
      </c>
      <c r="D23" s="156">
        <f>HLOOKUP($Q$9,'名簿入力'!$B$3:$AK$46,25)</f>
        <v>0</v>
      </c>
      <c r="E23" s="158"/>
      <c r="F23" s="158"/>
      <c r="G23" s="158"/>
      <c r="H23" s="158"/>
      <c r="I23" s="158"/>
    </row>
    <row r="24" spans="1:9" ht="19.5" customHeight="1">
      <c r="A24" s="156">
        <v>22</v>
      </c>
      <c r="B24" s="156">
        <f>HLOOKUP($Q$3,'名簿入力'!$B$3:$AK$46,26)</f>
        <v>0</v>
      </c>
      <c r="C24" s="156">
        <f>HLOOKUP($Q$6,'名簿入力'!$B$3:$AK$46,26)</f>
        <v>0</v>
      </c>
      <c r="D24" s="156">
        <f>HLOOKUP($Q$9,'名簿入力'!$B$3:$AK$46,26)</f>
        <v>0</v>
      </c>
      <c r="E24" s="158"/>
      <c r="F24" s="158"/>
      <c r="G24" s="158"/>
      <c r="H24" s="158"/>
      <c r="I24" s="158"/>
    </row>
    <row r="25" spans="1:9" ht="19.5" customHeight="1">
      <c r="A25" s="156">
        <v>23</v>
      </c>
      <c r="B25" s="156">
        <f>HLOOKUP($Q$3,'名簿入力'!$B$3:$AK$46,27)</f>
        <v>0</v>
      </c>
      <c r="C25" s="156">
        <f>HLOOKUP($Q$6,'名簿入力'!$B$3:$AK$46,27)</f>
        <v>0</v>
      </c>
      <c r="D25" s="156">
        <f>HLOOKUP($Q$9,'名簿入力'!$B$3:$AK$46,27)</f>
        <v>0</v>
      </c>
      <c r="E25" s="158"/>
      <c r="F25" s="158"/>
      <c r="G25" s="158"/>
      <c r="H25" s="158"/>
      <c r="I25" s="158"/>
    </row>
    <row r="26" spans="1:9" ht="19.5" customHeight="1">
      <c r="A26" s="156">
        <v>24</v>
      </c>
      <c r="B26" s="156">
        <f>HLOOKUP($Q$3,'名簿入力'!$B$3:$AK$46,28)</f>
        <v>0</v>
      </c>
      <c r="C26" s="156">
        <f>HLOOKUP($Q$6,'名簿入力'!$B$3:$AK$46,28)</f>
        <v>0</v>
      </c>
      <c r="D26" s="156">
        <f>HLOOKUP($Q$9,'名簿入力'!$B$3:$AK$46,28)</f>
        <v>0</v>
      </c>
      <c r="E26" s="158"/>
      <c r="F26" s="158"/>
      <c r="G26" s="158"/>
      <c r="H26" s="158"/>
      <c r="I26" s="158"/>
    </row>
    <row r="27" spans="1:9" ht="19.5" customHeight="1">
      <c r="A27" s="156">
        <v>25</v>
      </c>
      <c r="B27" s="156">
        <f>HLOOKUP($Q$3,'名簿入力'!$B$3:$AK$46,29)</f>
        <v>0</v>
      </c>
      <c r="C27" s="156">
        <f>HLOOKUP($Q$6,'名簿入力'!$B$3:$AK$46,29)</f>
        <v>0</v>
      </c>
      <c r="D27" s="156">
        <f>HLOOKUP($Q$9,'名簿入力'!$B$3:$AK$46,29)</f>
        <v>0</v>
      </c>
      <c r="E27" s="158"/>
      <c r="F27" s="158"/>
      <c r="G27" s="158"/>
      <c r="H27" s="158"/>
      <c r="I27" s="158"/>
    </row>
    <row r="28" spans="1:9" ht="19.5" customHeight="1">
      <c r="A28" s="156">
        <v>26</v>
      </c>
      <c r="B28" s="156">
        <f>HLOOKUP($Q$3,'名簿入力'!$B$3:$AK$46,30)</f>
        <v>0</v>
      </c>
      <c r="C28" s="156">
        <f>HLOOKUP($Q$6,'名簿入力'!$B$3:$AK$46,30)</f>
        <v>0</v>
      </c>
      <c r="D28" s="156">
        <f>HLOOKUP($Q$9,'名簿入力'!$B$3:$AK$46,30)</f>
        <v>0</v>
      </c>
      <c r="E28" s="158"/>
      <c r="F28" s="158"/>
      <c r="G28" s="158"/>
      <c r="H28" s="158"/>
      <c r="I28" s="158"/>
    </row>
    <row r="29" spans="1:9" ht="19.5" customHeight="1">
      <c r="A29" s="156">
        <v>27</v>
      </c>
      <c r="B29" s="156">
        <f>HLOOKUP($Q$3,'名簿入力'!$B$3:$AK$46,31)</f>
        <v>0</v>
      </c>
      <c r="C29" s="156">
        <f>HLOOKUP($Q$6,'名簿入力'!$B$3:$AK$46,31)</f>
        <v>0</v>
      </c>
      <c r="D29" s="156">
        <f>HLOOKUP($Q$9,'名簿入力'!$B$3:$AK$46,31)</f>
        <v>0</v>
      </c>
      <c r="E29" s="158"/>
      <c r="F29" s="158"/>
      <c r="G29" s="158"/>
      <c r="H29" s="158"/>
      <c r="I29" s="158"/>
    </row>
    <row r="30" spans="1:9" ht="19.5" customHeight="1">
      <c r="A30" s="156">
        <v>28</v>
      </c>
      <c r="B30" s="156">
        <f>HLOOKUP($Q$3,'名簿入力'!$B$3:$AK$46,32)</f>
        <v>0</v>
      </c>
      <c r="C30" s="156">
        <f>HLOOKUP($Q$6,'名簿入力'!$B$3:$AK$46,32)</f>
        <v>0</v>
      </c>
      <c r="D30" s="156">
        <f>HLOOKUP($Q$9,'名簿入力'!$B$3:$AK$46,32)</f>
        <v>0</v>
      </c>
      <c r="E30" s="158"/>
      <c r="F30" s="158"/>
      <c r="G30" s="158"/>
      <c r="H30" s="158"/>
      <c r="I30" s="158"/>
    </row>
    <row r="31" spans="1:9" ht="19.5" customHeight="1">
      <c r="A31" s="156">
        <v>29</v>
      </c>
      <c r="B31" s="156">
        <f>HLOOKUP($Q$3,'名簿入力'!$B$3:$AK$46,33)</f>
        <v>0</v>
      </c>
      <c r="C31" s="156">
        <f>HLOOKUP($Q$6,'名簿入力'!$B$3:$AK$46,33)</f>
        <v>0</v>
      </c>
      <c r="D31" s="156">
        <f>HLOOKUP($Q$9,'名簿入力'!$B$3:$AK$46,33)</f>
        <v>0</v>
      </c>
      <c r="E31" s="158"/>
      <c r="F31" s="158"/>
      <c r="G31" s="158"/>
      <c r="H31" s="158"/>
      <c r="I31" s="158"/>
    </row>
    <row r="32" spans="1:9" ht="19.5" customHeight="1">
      <c r="A32" s="156">
        <v>30</v>
      </c>
      <c r="B32" s="156">
        <f>HLOOKUP($Q$3,'名簿入力'!$B$3:$AK$46,34)</f>
        <v>0</v>
      </c>
      <c r="C32" s="156">
        <f>HLOOKUP($Q$6,'名簿入力'!$B$3:$AK$46,34)</f>
        <v>0</v>
      </c>
      <c r="D32" s="156">
        <f>HLOOKUP($Q$9,'名簿入力'!$B$3:$AK$46,34)</f>
        <v>0</v>
      </c>
      <c r="E32" s="158"/>
      <c r="F32" s="158"/>
      <c r="G32" s="158"/>
      <c r="H32" s="158"/>
      <c r="I32" s="158"/>
    </row>
    <row r="33" spans="1:9" ht="19.5" customHeight="1">
      <c r="A33" s="156">
        <v>31</v>
      </c>
      <c r="B33" s="156">
        <f>HLOOKUP($Q$3,'名簿入力'!$B$3:$AK$46,35)</f>
        <v>0</v>
      </c>
      <c r="C33" s="156">
        <f>HLOOKUP($Q$6,'名簿入力'!$B$3:$AK$46,35)</f>
        <v>0</v>
      </c>
      <c r="D33" s="156">
        <f>HLOOKUP($Q$9,'名簿入力'!$B$3:$AK$46,35)</f>
        <v>0</v>
      </c>
      <c r="E33" s="158"/>
      <c r="F33" s="158"/>
      <c r="G33" s="158"/>
      <c r="H33" s="158"/>
      <c r="I33" s="158"/>
    </row>
    <row r="34" spans="1:9" ht="19.5" customHeight="1">
      <c r="A34" s="156">
        <v>32</v>
      </c>
      <c r="B34" s="156">
        <f>HLOOKUP($Q$3,'名簿入力'!$B$3:$AK$46,36)</f>
        <v>0</v>
      </c>
      <c r="C34" s="156">
        <f>HLOOKUP($Q$6,'名簿入力'!$B$3:$AK$46,36)</f>
        <v>0</v>
      </c>
      <c r="D34" s="156">
        <f>HLOOKUP($Q$9,'名簿入力'!$B$3:$AK$46,36)</f>
        <v>0</v>
      </c>
      <c r="E34" s="158"/>
      <c r="F34" s="158"/>
      <c r="G34" s="158"/>
      <c r="H34" s="158"/>
      <c r="I34" s="158"/>
    </row>
    <row r="35" spans="1:9" ht="19.5" customHeight="1">
      <c r="A35" s="156">
        <v>33</v>
      </c>
      <c r="B35" s="156">
        <f>HLOOKUP($Q$3,'名簿入力'!$B$3:$AK$46,37)</f>
        <v>0</v>
      </c>
      <c r="C35" s="156">
        <f>HLOOKUP($Q$6,'名簿入力'!$B$3:$AK$46,37)</f>
        <v>0</v>
      </c>
      <c r="D35" s="156">
        <f>HLOOKUP($Q$9,'名簿入力'!$B$3:$AK$46,37)</f>
        <v>0</v>
      </c>
      <c r="E35" s="158"/>
      <c r="F35" s="158"/>
      <c r="G35" s="158"/>
      <c r="H35" s="158"/>
      <c r="I35" s="158"/>
    </row>
    <row r="36" spans="1:9" ht="19.5" customHeight="1">
      <c r="A36" s="156">
        <v>34</v>
      </c>
      <c r="B36" s="156">
        <f>HLOOKUP($Q$3,'名簿入力'!$B$3:$AK$46,38)</f>
        <v>0</v>
      </c>
      <c r="C36" s="156">
        <f>HLOOKUP($Q$6,'名簿入力'!$B$3:$AK$46,38)</f>
        <v>0</v>
      </c>
      <c r="D36" s="156">
        <f>HLOOKUP($Q$9,'名簿入力'!$B$3:$AK$46,38)</f>
        <v>0</v>
      </c>
      <c r="E36" s="158"/>
      <c r="F36" s="158"/>
      <c r="G36" s="158"/>
      <c r="H36" s="158"/>
      <c r="I36" s="158"/>
    </row>
    <row r="37" spans="1:9" ht="19.5" customHeight="1">
      <c r="A37" s="156">
        <v>35</v>
      </c>
      <c r="B37" s="156">
        <f>HLOOKUP($Q$3,'名簿入力'!$B$3:$AK$46,39)</f>
        <v>0</v>
      </c>
      <c r="C37" s="156">
        <f>HLOOKUP($Q$6,'名簿入力'!$B$3:$AK$46,39)</f>
        <v>0</v>
      </c>
      <c r="D37" s="156">
        <f>HLOOKUP($Q$9,'名簿入力'!$B$3:$AK$46,39)</f>
        <v>0</v>
      </c>
      <c r="E37" s="158"/>
      <c r="F37" s="158"/>
      <c r="G37" s="158"/>
      <c r="H37" s="158"/>
      <c r="I37" s="158"/>
    </row>
    <row r="38" spans="1:9" ht="19.5" customHeight="1">
      <c r="A38" s="156">
        <v>36</v>
      </c>
      <c r="B38" s="156">
        <f>HLOOKUP($Q$3,'名簿入力'!$B$3:$AK$46,40)</f>
        <v>0</v>
      </c>
      <c r="C38" s="156">
        <f>HLOOKUP($Q$6,'名簿入力'!$B$3:$AK$46,40)</f>
        <v>0</v>
      </c>
      <c r="D38" s="156">
        <f>HLOOKUP($Q$9,'名簿入力'!$B$3:$AK$46,40)</f>
        <v>0</v>
      </c>
      <c r="E38" s="158"/>
      <c r="F38" s="158"/>
      <c r="G38" s="158"/>
      <c r="H38" s="158"/>
      <c r="I38" s="158"/>
    </row>
    <row r="39" spans="1:9" ht="19.5" customHeight="1">
      <c r="A39" s="156">
        <v>37</v>
      </c>
      <c r="B39" s="156">
        <f>HLOOKUP($Q$3,'名簿入力'!$B$3:$AK$46,41)</f>
        <v>0</v>
      </c>
      <c r="C39" s="156">
        <f>HLOOKUP($Q$6,'名簿入力'!$B$3:$AK$46,41)</f>
        <v>0</v>
      </c>
      <c r="D39" s="156">
        <f>HLOOKUP($Q$9,'名簿入力'!$B$3:$AK$46,41)</f>
        <v>0</v>
      </c>
      <c r="E39" s="158"/>
      <c r="F39" s="158"/>
      <c r="G39" s="158"/>
      <c r="H39" s="158"/>
      <c r="I39" s="158"/>
    </row>
    <row r="40" spans="1:9" ht="19.5" customHeight="1">
      <c r="A40" s="156">
        <v>38</v>
      </c>
      <c r="B40" s="156">
        <f>HLOOKUP($Q$3,'名簿入力'!$B$3:$AK$46,42)</f>
        <v>0</v>
      </c>
      <c r="C40" s="156">
        <f>HLOOKUP($Q$6,'名簿入力'!$B$3:$AK$46,42)</f>
        <v>0</v>
      </c>
      <c r="D40" s="156">
        <f>HLOOKUP($Q$9,'名簿入力'!$B$3:$AK$46,42)</f>
        <v>0</v>
      </c>
      <c r="E40" s="158"/>
      <c r="F40" s="158"/>
      <c r="G40" s="158"/>
      <c r="H40" s="158"/>
      <c r="I40" s="158"/>
    </row>
    <row r="41" spans="1:9" ht="19.5" customHeight="1">
      <c r="A41" s="156">
        <v>39</v>
      </c>
      <c r="B41" s="156">
        <f>HLOOKUP($Q$3,'名簿入力'!$B$3:$AK$46,43)</f>
        <v>0</v>
      </c>
      <c r="C41" s="156">
        <f>HLOOKUP($Q$6,'名簿入力'!$B$3:$AK$46,43)</f>
        <v>0</v>
      </c>
      <c r="D41" s="156">
        <f>HLOOKUP($Q$9,'名簿入力'!$B$3:$AK$46,43)</f>
        <v>0</v>
      </c>
      <c r="E41" s="158"/>
      <c r="F41" s="158"/>
      <c r="G41" s="158"/>
      <c r="H41" s="158"/>
      <c r="I41" s="158"/>
    </row>
    <row r="42" spans="1:9" ht="19.5" customHeight="1">
      <c r="A42" s="156">
        <v>40</v>
      </c>
      <c r="B42" s="156">
        <f>HLOOKUP($Q$3,'名簿入力'!$B$3:$AK$46,44)</f>
        <v>0</v>
      </c>
      <c r="C42" s="156">
        <f>HLOOKUP($Q$6,'名簿入力'!$B$3:$AK$46,44)</f>
        <v>0</v>
      </c>
      <c r="D42" s="156">
        <f>HLOOKUP($Q$9,'名簿入力'!$B$3:$AK$46,44)</f>
        <v>0</v>
      </c>
      <c r="E42" s="158"/>
      <c r="F42" s="158"/>
      <c r="G42" s="158"/>
      <c r="H42" s="158"/>
      <c r="I42" s="158"/>
    </row>
    <row r="43" ht="18" customHeight="1"/>
    <row r="44" ht="18" customHeight="1"/>
  </sheetData>
  <sheetProtection password="DA1F" sheet="1" objects="1" scenarios="1"/>
  <mergeCells count="8">
    <mergeCell ref="A1:F1"/>
    <mergeCell ref="N16:P16"/>
    <mergeCell ref="Q3:Q4"/>
    <mergeCell ref="Q9:Q10"/>
    <mergeCell ref="K2:L2"/>
    <mergeCell ref="K3:L4"/>
    <mergeCell ref="Q6:Q7"/>
    <mergeCell ref="G1:I1"/>
  </mergeCells>
  <printOptions/>
  <pageMargins left="0.67" right="0.5" top="0.48" bottom="0.44"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70C0"/>
  </sheetPr>
  <dimension ref="A1:K50"/>
  <sheetViews>
    <sheetView showZeros="0" zoomScalePageLayoutView="0" workbookViewId="0" topLeftCell="A1">
      <selection activeCell="O18" sqref="O18"/>
    </sheetView>
  </sheetViews>
  <sheetFormatPr defaultColWidth="9.140625" defaultRowHeight="15"/>
  <cols>
    <col min="1" max="1" width="7.00390625" style="159" customWidth="1"/>
    <col min="2" max="2" width="11.00390625" style="160" customWidth="1"/>
    <col min="3" max="3" width="3.57421875" style="161" customWidth="1"/>
    <col min="4" max="6" width="9.00390625" style="161" customWidth="1"/>
    <col min="7" max="7" width="9.28125" style="161" bestFit="1" customWidth="1"/>
    <col min="8" max="16384" width="9.00390625" style="161" customWidth="1"/>
  </cols>
  <sheetData>
    <row r="1" spans="1:11" ht="19.5" customHeight="1">
      <c r="A1" s="162"/>
      <c r="B1" s="163" t="s">
        <v>140</v>
      </c>
      <c r="C1" s="164"/>
      <c r="D1" s="323" t="str">
        <f>'内容入力'!D32&amp;'内容入力'!H32</f>
        <v>実施要項</v>
      </c>
      <c r="E1" s="323"/>
      <c r="F1" s="323"/>
      <c r="G1" s="323"/>
      <c r="H1" s="323"/>
      <c r="I1" s="323"/>
      <c r="J1" s="323"/>
      <c r="K1" s="323"/>
    </row>
    <row r="2" spans="1:11" ht="19.5" customHeight="1">
      <c r="A2" s="165"/>
      <c r="B2" s="163"/>
      <c r="C2" s="164"/>
      <c r="D2" s="164"/>
      <c r="E2" s="164"/>
      <c r="F2" s="164"/>
      <c r="G2" s="164"/>
      <c r="H2" s="164"/>
      <c r="I2" s="164"/>
      <c r="J2" s="164"/>
      <c r="K2" s="164"/>
    </row>
    <row r="3" spans="1:11" ht="19.5" customHeight="1">
      <c r="A3" s="162">
        <v>1</v>
      </c>
      <c r="B3" s="163" t="s">
        <v>119</v>
      </c>
      <c r="C3" s="164"/>
      <c r="D3" s="324">
        <f>'内容入力'!D33</f>
        <v>0</v>
      </c>
      <c r="E3" s="324"/>
      <c r="F3" s="324"/>
      <c r="G3" s="324"/>
      <c r="H3" s="324"/>
      <c r="I3" s="324"/>
      <c r="J3" s="324"/>
      <c r="K3" s="324"/>
    </row>
    <row r="4" spans="1:11" ht="9" customHeight="1">
      <c r="A4" s="162"/>
      <c r="B4" s="163"/>
      <c r="C4" s="164"/>
      <c r="D4" s="164"/>
      <c r="E4" s="164"/>
      <c r="F4" s="164"/>
      <c r="G4" s="164"/>
      <c r="H4" s="164"/>
      <c r="I4" s="164"/>
      <c r="J4" s="164"/>
      <c r="K4" s="164"/>
    </row>
    <row r="5" spans="1:11" ht="19.5" customHeight="1">
      <c r="A5" s="162">
        <v>2</v>
      </c>
      <c r="B5" s="163" t="s">
        <v>120</v>
      </c>
      <c r="C5" s="164"/>
      <c r="D5" s="324">
        <f>'内容入力'!D34</f>
        <v>0</v>
      </c>
      <c r="E5" s="324"/>
      <c r="F5" s="324"/>
      <c r="G5" s="324"/>
      <c r="H5" s="324"/>
      <c r="I5" s="324"/>
      <c r="J5" s="324"/>
      <c r="K5" s="324"/>
    </row>
    <row r="6" spans="1:11" ht="9" customHeight="1">
      <c r="A6" s="162"/>
      <c r="B6" s="163"/>
      <c r="C6" s="164"/>
      <c r="D6" s="164"/>
      <c r="E6" s="164"/>
      <c r="F6" s="164"/>
      <c r="G6" s="164"/>
      <c r="H6" s="164"/>
      <c r="I6" s="164"/>
      <c r="J6" s="164"/>
      <c r="K6" s="164"/>
    </row>
    <row r="7" spans="1:11" ht="19.5" customHeight="1">
      <c r="A7" s="162">
        <v>3</v>
      </c>
      <c r="B7" s="163" t="s">
        <v>109</v>
      </c>
      <c r="C7" s="164"/>
      <c r="D7" s="320">
        <f>'内容入力'!D8</f>
        <v>0</v>
      </c>
      <c r="E7" s="320"/>
      <c r="F7" s="320"/>
      <c r="G7" s="164"/>
      <c r="H7" s="325">
        <f>'内容入力'!D10</f>
        <v>0</v>
      </c>
      <c r="I7" s="325"/>
      <c r="J7" s="162" t="s">
        <v>110</v>
      </c>
      <c r="K7" s="164"/>
    </row>
    <row r="8" spans="1:11" ht="19.5" customHeight="1">
      <c r="A8" s="162"/>
      <c r="B8" s="163"/>
      <c r="C8" s="164"/>
      <c r="D8" s="320"/>
      <c r="E8" s="320"/>
      <c r="F8" s="320"/>
      <c r="G8" s="164"/>
      <c r="H8" s="325">
        <f>'内容入力'!D11</f>
        <v>0</v>
      </c>
      <c r="I8" s="325"/>
      <c r="J8" s="162" t="s">
        <v>111</v>
      </c>
      <c r="K8" s="164"/>
    </row>
    <row r="9" spans="1:11" ht="9" customHeight="1">
      <c r="A9" s="162"/>
      <c r="B9" s="163"/>
      <c r="C9" s="164"/>
      <c r="D9" s="164"/>
      <c r="E9" s="164"/>
      <c r="F9" s="164"/>
      <c r="G9" s="164"/>
      <c r="H9" s="164"/>
      <c r="I9" s="164"/>
      <c r="J9" s="164"/>
      <c r="K9" s="164"/>
    </row>
    <row r="10" spans="1:11" ht="19.5" customHeight="1">
      <c r="A10" s="162">
        <v>4</v>
      </c>
      <c r="B10" s="163" t="s">
        <v>22</v>
      </c>
      <c r="C10" s="164"/>
      <c r="D10" s="324">
        <f>'内容入力'!D13</f>
        <v>0</v>
      </c>
      <c r="E10" s="324"/>
      <c r="F10" s="324"/>
      <c r="G10" s="324"/>
      <c r="H10" s="324"/>
      <c r="I10" s="324"/>
      <c r="J10" s="324"/>
      <c r="K10" s="324"/>
    </row>
    <row r="11" spans="1:11" ht="9" customHeight="1">
      <c r="A11" s="162"/>
      <c r="B11" s="163"/>
      <c r="C11" s="164"/>
      <c r="D11" s="164"/>
      <c r="E11" s="164"/>
      <c r="F11" s="164"/>
      <c r="G11" s="164"/>
      <c r="H11" s="164"/>
      <c r="I11" s="164"/>
      <c r="J11" s="164"/>
      <c r="K11" s="164"/>
    </row>
    <row r="12" spans="1:11" ht="19.5" customHeight="1">
      <c r="A12" s="162">
        <v>5</v>
      </c>
      <c r="B12" s="163" t="s">
        <v>113</v>
      </c>
      <c r="C12" s="164"/>
      <c r="D12" s="326">
        <f>'内容入力'!D8</f>
        <v>0</v>
      </c>
      <c r="E12" s="326"/>
      <c r="F12" s="326"/>
      <c r="G12" s="327"/>
      <c r="H12" s="328"/>
      <c r="I12" s="329"/>
      <c r="J12" s="329"/>
      <c r="K12" s="329"/>
    </row>
    <row r="13" spans="1:11" ht="20.25" customHeight="1">
      <c r="A13" s="162"/>
      <c r="B13" s="163"/>
      <c r="C13" s="164"/>
      <c r="D13" s="166">
        <f>'内容入力'!D36</f>
        <v>0</v>
      </c>
      <c r="E13" s="319">
        <f>'内容入力'!F36</f>
        <v>0</v>
      </c>
      <c r="F13" s="319"/>
      <c r="G13" s="321"/>
      <c r="H13" s="167"/>
      <c r="I13" s="322"/>
      <c r="J13" s="322"/>
      <c r="K13" s="322"/>
    </row>
    <row r="14" spans="1:11" ht="20.25" customHeight="1">
      <c r="A14" s="162"/>
      <c r="B14" s="163"/>
      <c r="C14" s="164"/>
      <c r="D14" s="166">
        <f>'内容入力'!D37</f>
        <v>0</v>
      </c>
      <c r="E14" s="319">
        <f>'内容入力'!F37</f>
        <v>0</v>
      </c>
      <c r="F14" s="319"/>
      <c r="G14" s="321"/>
      <c r="H14" s="167"/>
      <c r="I14" s="322"/>
      <c r="J14" s="322"/>
      <c r="K14" s="322"/>
    </row>
    <row r="15" spans="1:11" ht="20.25" customHeight="1">
      <c r="A15" s="162"/>
      <c r="B15" s="163"/>
      <c r="C15" s="164"/>
      <c r="D15" s="166">
        <f>'内容入力'!D38</f>
        <v>0</v>
      </c>
      <c r="E15" s="319">
        <f>'内容入力'!F38</f>
        <v>0</v>
      </c>
      <c r="F15" s="319"/>
      <c r="G15" s="321"/>
      <c r="H15" s="167"/>
      <c r="I15" s="322"/>
      <c r="J15" s="322"/>
      <c r="K15" s="322"/>
    </row>
    <row r="16" spans="1:11" ht="20.25" customHeight="1">
      <c r="A16" s="162"/>
      <c r="B16" s="163"/>
      <c r="C16" s="164"/>
      <c r="D16" s="166">
        <f>'内容入力'!D39</f>
        <v>0</v>
      </c>
      <c r="E16" s="319">
        <f>'内容入力'!F39</f>
        <v>0</v>
      </c>
      <c r="F16" s="319"/>
      <c r="G16" s="321"/>
      <c r="H16" s="167"/>
      <c r="I16" s="322"/>
      <c r="J16" s="322"/>
      <c r="K16" s="322"/>
    </row>
    <row r="17" spans="1:11" ht="20.25" customHeight="1">
      <c r="A17" s="162"/>
      <c r="B17" s="163"/>
      <c r="C17" s="164"/>
      <c r="D17" s="166">
        <f>'内容入力'!D40</f>
        <v>0</v>
      </c>
      <c r="E17" s="319">
        <f>'内容入力'!F40</f>
        <v>0</v>
      </c>
      <c r="F17" s="319"/>
      <c r="G17" s="321"/>
      <c r="H17" s="167"/>
      <c r="I17" s="322"/>
      <c r="J17" s="322"/>
      <c r="K17" s="322"/>
    </row>
    <row r="18" spans="1:11" ht="20.25" customHeight="1">
      <c r="A18" s="162"/>
      <c r="B18" s="163"/>
      <c r="C18" s="164"/>
      <c r="D18" s="166">
        <f>'内容入力'!D41</f>
        <v>0</v>
      </c>
      <c r="E18" s="319">
        <f>'内容入力'!F41</f>
        <v>0</v>
      </c>
      <c r="F18" s="319"/>
      <c r="G18" s="319"/>
      <c r="H18" s="168"/>
      <c r="I18" s="169"/>
      <c r="J18" s="169"/>
      <c r="K18" s="169"/>
    </row>
    <row r="19" spans="1:11" ht="20.25" customHeight="1">
      <c r="A19" s="162"/>
      <c r="B19" s="163"/>
      <c r="C19" s="164"/>
      <c r="D19" s="166">
        <f>'内容入力'!D42</f>
        <v>0</v>
      </c>
      <c r="E19" s="319">
        <f>'内容入力'!F42</f>
        <v>0</v>
      </c>
      <c r="F19" s="319"/>
      <c r="G19" s="319"/>
      <c r="H19" s="168"/>
      <c r="I19" s="169"/>
      <c r="J19" s="169"/>
      <c r="K19" s="169"/>
    </row>
    <row r="20" spans="1:11" ht="20.25" customHeight="1">
      <c r="A20" s="162"/>
      <c r="B20" s="163"/>
      <c r="C20" s="164"/>
      <c r="D20" s="166">
        <f>'内容入力'!D43</f>
        <v>0</v>
      </c>
      <c r="E20" s="319">
        <f>'内容入力'!F43</f>
        <v>0</v>
      </c>
      <c r="F20" s="319"/>
      <c r="G20" s="319"/>
      <c r="H20" s="168"/>
      <c r="I20" s="169"/>
      <c r="J20" s="169"/>
      <c r="K20" s="169"/>
    </row>
    <row r="21" spans="1:11" ht="9" customHeight="1">
      <c r="A21" s="162"/>
      <c r="B21" s="163"/>
      <c r="C21" s="164"/>
      <c r="D21" s="170">
        <f>'内容入力'!D44</f>
        <v>0</v>
      </c>
      <c r="E21" s="171"/>
      <c r="F21" s="171"/>
      <c r="G21" s="171"/>
      <c r="H21" s="168"/>
      <c r="I21" s="171"/>
      <c r="J21" s="171"/>
      <c r="K21" s="171"/>
    </row>
    <row r="22" spans="1:11" ht="19.5" customHeight="1">
      <c r="A22" s="162">
        <v>6</v>
      </c>
      <c r="B22" s="163" t="s">
        <v>38</v>
      </c>
      <c r="C22" s="164"/>
      <c r="D22" s="172">
        <f>IF('内容入力'!D17="有料",'内容入力'!F17,"無料")</f>
        <v>1000</v>
      </c>
      <c r="E22" s="173" t="str">
        <f>IF('内容入力'!D17="有料","円（","")</f>
        <v>円（</v>
      </c>
      <c r="F22" s="331" t="str">
        <f>IF('内容入力'!D17="有料",'内容入力'!D18&amp;"　）","")</f>
        <v>飲料代、保険料　）</v>
      </c>
      <c r="G22" s="331"/>
      <c r="H22" s="331"/>
      <c r="I22" s="331"/>
      <c r="J22" s="331"/>
      <c r="K22" s="331"/>
    </row>
    <row r="23" spans="1:11" ht="9" customHeight="1">
      <c r="A23" s="162"/>
      <c r="B23" s="163"/>
      <c r="C23" s="164"/>
      <c r="D23" s="164"/>
      <c r="E23" s="164"/>
      <c r="F23" s="164"/>
      <c r="G23" s="164"/>
      <c r="H23" s="164"/>
      <c r="I23" s="164"/>
      <c r="J23" s="164"/>
      <c r="K23" s="164"/>
    </row>
    <row r="24" spans="1:11" ht="19.5" customHeight="1">
      <c r="A24" s="162">
        <v>7</v>
      </c>
      <c r="B24" s="163" t="s">
        <v>23</v>
      </c>
      <c r="C24" s="164"/>
      <c r="D24" s="320" t="str">
        <f>'内容入力'!D19</f>
        <v>柴田尚生</v>
      </c>
      <c r="E24" s="320"/>
      <c r="F24" s="324" t="str">
        <f>IF('内容入力'!P19&gt;1,"（"&amp;'内容入力'!F19&amp;"）","")</f>
        <v>（和賀西中学校）</v>
      </c>
      <c r="G24" s="324"/>
      <c r="H24" s="324"/>
      <c r="I24" s="164"/>
      <c r="J24" s="164"/>
      <c r="K24" s="164"/>
    </row>
    <row r="25" spans="1:11" ht="19.5" customHeight="1">
      <c r="A25" s="162"/>
      <c r="B25" s="163"/>
      <c r="C25" s="164"/>
      <c r="D25" s="320">
        <f>'内容入力'!D20</f>
        <v>0</v>
      </c>
      <c r="E25" s="320"/>
      <c r="F25" s="324">
        <f>IF('内容入力'!P20&gt;1,"（"&amp;'内容入力'!F20&amp;"）","")</f>
      </c>
      <c r="G25" s="324"/>
      <c r="H25" s="324"/>
      <c r="I25" s="164"/>
      <c r="J25" s="164"/>
      <c r="K25" s="164"/>
    </row>
    <row r="26" spans="1:11" ht="19.5" customHeight="1">
      <c r="A26" s="162"/>
      <c r="B26" s="163"/>
      <c r="C26" s="164"/>
      <c r="D26" s="320">
        <f>'内容入力'!D21</f>
        <v>0</v>
      </c>
      <c r="E26" s="320"/>
      <c r="F26" s="324">
        <f>IF('内容入力'!P21&gt;1,"（"&amp;'内容入力'!F21&amp;"）","")</f>
      </c>
      <c r="G26" s="324"/>
      <c r="H26" s="324"/>
      <c r="I26" s="164"/>
      <c r="J26" s="164"/>
      <c r="K26" s="164"/>
    </row>
    <row r="27" spans="1:11" ht="19.5" customHeight="1">
      <c r="A27" s="162"/>
      <c r="B27" s="163"/>
      <c r="C27" s="164"/>
      <c r="D27" s="320">
        <f>'内容入力'!D22</f>
        <v>0</v>
      </c>
      <c r="E27" s="320"/>
      <c r="F27" s="324">
        <f>IF('内容入力'!P22&gt;1,"（"&amp;'内容入力'!F22&amp;"）","")</f>
      </c>
      <c r="G27" s="324"/>
      <c r="H27" s="324"/>
      <c r="I27" s="164"/>
      <c r="J27" s="164"/>
      <c r="K27" s="164"/>
    </row>
    <row r="28" spans="1:11" ht="19.5" customHeight="1">
      <c r="A28" s="162"/>
      <c r="B28" s="163"/>
      <c r="C28" s="164"/>
      <c r="D28" s="320">
        <f>'内容入力'!D23</f>
        <v>0</v>
      </c>
      <c r="E28" s="320"/>
      <c r="F28" s="324">
        <f>IF('内容入力'!P23&gt;1,"（"&amp;'内容入力'!F23&amp;"）","")</f>
      </c>
      <c r="G28" s="324"/>
      <c r="H28" s="324"/>
      <c r="I28" s="164"/>
      <c r="J28" s="164"/>
      <c r="K28" s="164"/>
    </row>
    <row r="29" spans="1:11" ht="9" customHeight="1">
      <c r="A29" s="162"/>
      <c r="B29" s="163"/>
      <c r="C29" s="164"/>
      <c r="D29" s="163"/>
      <c r="E29" s="163"/>
      <c r="F29" s="174"/>
      <c r="G29" s="174"/>
      <c r="H29" s="174"/>
      <c r="I29" s="164"/>
      <c r="J29" s="164"/>
      <c r="K29" s="164"/>
    </row>
    <row r="30" spans="1:11" ht="19.5" customHeight="1">
      <c r="A30" s="175">
        <v>8</v>
      </c>
      <c r="B30" s="176" t="s">
        <v>138</v>
      </c>
      <c r="C30" s="164"/>
      <c r="D30" s="332" t="str">
        <f>'内容入力'!D52</f>
        <v>スパイク、すね当て、ユニフォーム、サッカーパンツ（白）、ソックス（白）、1日目の昼食、タオル、雨具、着替え、洗面用具、サッカーノート、筆記用具、学習道具、参加費、承諾書、保険証のコピー洗、濯用ネット、常備薬等必要なもの</v>
      </c>
      <c r="E30" s="332"/>
      <c r="F30" s="332"/>
      <c r="G30" s="332"/>
      <c r="H30" s="332"/>
      <c r="I30" s="332"/>
      <c r="J30" s="332"/>
      <c r="K30" s="177"/>
    </row>
    <row r="31" spans="1:11" ht="19.5" customHeight="1">
      <c r="A31" s="162"/>
      <c r="B31" s="163"/>
      <c r="C31" s="164"/>
      <c r="D31" s="332"/>
      <c r="E31" s="332"/>
      <c r="F31" s="332"/>
      <c r="G31" s="332"/>
      <c r="H31" s="332"/>
      <c r="I31" s="332"/>
      <c r="J31" s="332"/>
      <c r="K31" s="177"/>
    </row>
    <row r="32" spans="1:11" ht="19.5" customHeight="1">
      <c r="A32" s="162"/>
      <c r="B32" s="163"/>
      <c r="C32" s="164"/>
      <c r="D32" s="332"/>
      <c r="E32" s="332"/>
      <c r="F32" s="332"/>
      <c r="G32" s="332"/>
      <c r="H32" s="332"/>
      <c r="I32" s="332"/>
      <c r="J32" s="332"/>
      <c r="K32" s="177"/>
    </row>
    <row r="33" spans="1:11" ht="9.75" customHeight="1">
      <c r="A33" s="162"/>
      <c r="B33" s="163"/>
      <c r="C33" s="164"/>
      <c r="D33" s="164"/>
      <c r="E33" s="164"/>
      <c r="F33" s="164"/>
      <c r="G33" s="164"/>
      <c r="H33" s="164"/>
      <c r="I33" s="164"/>
      <c r="J33" s="164"/>
      <c r="K33" s="164"/>
    </row>
    <row r="34" spans="1:11" ht="19.5" customHeight="1">
      <c r="A34" s="162">
        <v>9</v>
      </c>
      <c r="B34" s="163" t="s">
        <v>118</v>
      </c>
      <c r="C34" s="178"/>
      <c r="D34" s="330" t="str">
        <f>IF('内容入力'!P53&gt;5,'内容入力'!D53&amp;'内容入力'!F53,0)</f>
        <v>①　トレーニングしっかりとした上で、コンディションを整えて参加すること。</v>
      </c>
      <c r="E34" s="330"/>
      <c r="F34" s="330"/>
      <c r="G34" s="330"/>
      <c r="H34" s="330"/>
      <c r="I34" s="330"/>
      <c r="J34" s="330"/>
      <c r="K34" s="330"/>
    </row>
    <row r="35" spans="1:11" ht="19.5" customHeight="1">
      <c r="A35" s="162"/>
      <c r="B35" s="163"/>
      <c r="C35" s="178"/>
      <c r="D35" s="330" t="str">
        <f>IF('内容入力'!P54&gt;5,'内容入力'!D54&amp;'内容入力'!F54,0)</f>
        <v>②　けがをして参加できなくなった場合は速やかに連絡責任者に申し出ること。</v>
      </c>
      <c r="E35" s="330"/>
      <c r="F35" s="330"/>
      <c r="G35" s="330"/>
      <c r="H35" s="330"/>
      <c r="I35" s="330"/>
      <c r="J35" s="330"/>
      <c r="K35" s="330"/>
    </row>
    <row r="36" spans="1:11" ht="19.5" customHeight="1">
      <c r="A36" s="162"/>
      <c r="B36" s="163"/>
      <c r="C36" s="178"/>
      <c r="D36" s="330" t="str">
        <f>IF('内容入力'!P55&gt;5,'内容入力'!D55&amp;'内容入力'!F55,0)</f>
        <v>③　天候や相手チームの状況により、会場や試合時間が変更になる場合があります。</v>
      </c>
      <c r="E36" s="330"/>
      <c r="F36" s="330"/>
      <c r="G36" s="330"/>
      <c r="H36" s="330"/>
      <c r="I36" s="330"/>
      <c r="J36" s="330"/>
      <c r="K36" s="330"/>
    </row>
    <row r="37" spans="1:11" ht="19.5" customHeight="1">
      <c r="A37" s="162"/>
      <c r="B37" s="163"/>
      <c r="C37" s="178"/>
      <c r="D37" s="330" t="str">
        <f>IF('内容入力'!P56&gt;5,'内容入力'!D56&amp;'内容入力'!F56,"")</f>
        <v>④　現地でのあいさつや礼儀など、行動のマナーには十分留意すること。</v>
      </c>
      <c r="E37" s="330"/>
      <c r="F37" s="330"/>
      <c r="G37" s="330"/>
      <c r="H37" s="330"/>
      <c r="I37" s="330"/>
      <c r="J37" s="330"/>
      <c r="K37" s="330"/>
    </row>
    <row r="38" spans="1:11" ht="19.5" customHeight="1">
      <c r="A38" s="162"/>
      <c r="B38" s="163"/>
      <c r="C38" s="178"/>
      <c r="D38" s="330" t="str">
        <f>IF('内容入力'!P57&gt;5,'内容入力'!D57&amp;'内容入力'!F57,"")</f>
        <v>⑤　試合では、県トレセンへの推薦選手を選考します。高い意識を持ち、参加すること。</v>
      </c>
      <c r="E38" s="330"/>
      <c r="F38" s="330"/>
      <c r="G38" s="330"/>
      <c r="H38" s="330"/>
      <c r="I38" s="330"/>
      <c r="J38" s="330"/>
      <c r="K38" s="330"/>
    </row>
    <row r="39" spans="1:11" ht="19.5" customHeight="1">
      <c r="A39" s="162"/>
      <c r="B39" s="163"/>
      <c r="C39" s="178"/>
      <c r="D39" s="330">
        <f>IF('内容入力'!P58&gt;5,'内容入力'!D58&amp;'内容入力'!F58,"")</f>
      </c>
      <c r="E39" s="330"/>
      <c r="F39" s="330"/>
      <c r="G39" s="330"/>
      <c r="H39" s="330"/>
      <c r="I39" s="330"/>
      <c r="J39" s="330"/>
      <c r="K39" s="330"/>
    </row>
    <row r="40" spans="1:11" ht="19.5" customHeight="1">
      <c r="A40" s="162"/>
      <c r="B40" s="163"/>
      <c r="C40" s="178"/>
      <c r="D40" s="330">
        <f>IF('内容入力'!P59&gt;5,'内容入力'!D59&amp;'内容入力'!F59,"")</f>
      </c>
      <c r="E40" s="330"/>
      <c r="F40" s="330"/>
      <c r="G40" s="330"/>
      <c r="H40" s="330"/>
      <c r="I40" s="330"/>
      <c r="J40" s="330"/>
      <c r="K40" s="330"/>
    </row>
    <row r="41" spans="1:11" ht="19.5" customHeight="1">
      <c r="A41" s="162"/>
      <c r="B41" s="163"/>
      <c r="C41" s="164"/>
      <c r="D41" s="330">
        <f>IF('内容入力'!P60&gt;5,'内容入力'!D60&amp;'内容入力'!F60,"")</f>
      </c>
      <c r="E41" s="330"/>
      <c r="F41" s="330"/>
      <c r="G41" s="330"/>
      <c r="H41" s="330"/>
      <c r="I41" s="330"/>
      <c r="J41" s="330"/>
      <c r="K41" s="330"/>
    </row>
    <row r="42" spans="1:11" ht="19.5" customHeight="1">
      <c r="A42" s="162"/>
      <c r="B42" s="163"/>
      <c r="C42" s="164"/>
      <c r="D42" s="330">
        <f>IF('内容入力'!P61&gt;5,'内容入力'!D61&amp;'内容入力'!F61,"")</f>
      </c>
      <c r="E42" s="330"/>
      <c r="F42" s="330"/>
      <c r="G42" s="330"/>
      <c r="H42" s="330"/>
      <c r="I42" s="330"/>
      <c r="J42" s="330"/>
      <c r="K42" s="330"/>
    </row>
    <row r="43" spans="1:11" ht="19.5" customHeight="1">
      <c r="A43" s="162"/>
      <c r="B43" s="163"/>
      <c r="C43" s="164"/>
      <c r="D43" s="330">
        <f>IF('内容入力'!P62&gt;5,'内容入力'!D62&amp;'内容入力'!F62,"")</f>
      </c>
      <c r="E43" s="330"/>
      <c r="F43" s="330"/>
      <c r="G43" s="330"/>
      <c r="H43" s="330"/>
      <c r="I43" s="330"/>
      <c r="J43" s="330"/>
      <c r="K43" s="330"/>
    </row>
    <row r="44" spans="1:11" ht="9" customHeight="1">
      <c r="A44" s="162"/>
      <c r="B44" s="163"/>
      <c r="C44" s="164"/>
      <c r="D44" s="179"/>
      <c r="E44" s="179"/>
      <c r="F44" s="179"/>
      <c r="G44" s="179"/>
      <c r="H44" s="179"/>
      <c r="I44" s="179"/>
      <c r="J44" s="179"/>
      <c r="K44" s="179"/>
    </row>
    <row r="45" spans="1:11" ht="19.5" customHeight="1">
      <c r="A45" s="162">
        <v>10</v>
      </c>
      <c r="B45" s="163" t="s">
        <v>133</v>
      </c>
      <c r="C45" s="164"/>
      <c r="D45" s="336">
        <f>'内容入力'!D24</f>
        <v>0</v>
      </c>
      <c r="E45" s="337"/>
      <c r="F45" s="338" t="str">
        <f>'内容入力'!N25&amp;'内容入力'!D25&amp;'内容入力'!O25</f>
        <v>(　　)</v>
      </c>
      <c r="G45" s="338"/>
      <c r="H45" s="338"/>
      <c r="I45" s="180"/>
      <c r="J45" s="164"/>
      <c r="K45" s="164"/>
    </row>
    <row r="46" spans="1:11" ht="19.5" customHeight="1">
      <c r="A46" s="162"/>
      <c r="B46" s="163"/>
      <c r="C46" s="164"/>
      <c r="D46" s="333" t="str">
        <f>'内容入力'!B26&amp;'内容入力'!N26</f>
        <v>職場　：</v>
      </c>
      <c r="E46" s="334"/>
      <c r="F46" s="335">
        <f>'内容入力'!D26</f>
        <v>0</v>
      </c>
      <c r="G46" s="335"/>
      <c r="H46" s="335"/>
      <c r="I46" s="181"/>
      <c r="J46" s="164"/>
      <c r="K46" s="164"/>
    </row>
    <row r="47" spans="1:11" ht="19.5" customHeight="1">
      <c r="A47" s="162"/>
      <c r="B47" s="163"/>
      <c r="C47" s="164"/>
      <c r="D47" s="333" t="str">
        <f>'内容入力'!B27&amp;'内容入力'!N27</f>
        <v>携帯電話　：</v>
      </c>
      <c r="E47" s="334"/>
      <c r="F47" s="335">
        <f>'内容入力'!D27</f>
        <v>0</v>
      </c>
      <c r="G47" s="335"/>
      <c r="H47" s="335"/>
      <c r="I47" s="182"/>
      <c r="J47" s="164"/>
      <c r="K47" s="164"/>
    </row>
    <row r="48" spans="1:11" ht="19.5" customHeight="1">
      <c r="A48" s="162"/>
      <c r="B48" s="163"/>
      <c r="C48" s="164"/>
      <c r="D48" s="183"/>
      <c r="E48" s="184"/>
      <c r="F48" s="185"/>
      <c r="G48" s="185"/>
      <c r="H48" s="185"/>
      <c r="I48" s="186"/>
      <c r="J48" s="164"/>
      <c r="K48" s="164"/>
    </row>
    <row r="49" spans="1:11" ht="19.5" customHeight="1">
      <c r="A49" s="162"/>
      <c r="B49" s="163"/>
      <c r="C49" s="164"/>
      <c r="D49" s="164"/>
      <c r="E49" s="164"/>
      <c r="F49" s="164"/>
      <c r="G49" s="164"/>
      <c r="H49" s="164"/>
      <c r="I49" s="164"/>
      <c r="J49" s="164"/>
      <c r="K49" s="164"/>
    </row>
    <row r="50" spans="2:11" s="159" customFormat="1" ht="19.5" customHeight="1">
      <c r="B50" s="160"/>
      <c r="C50" s="161"/>
      <c r="D50" s="161"/>
      <c r="E50" s="161"/>
      <c r="F50" s="161"/>
      <c r="G50" s="161"/>
      <c r="H50" s="161"/>
      <c r="I50" s="161"/>
      <c r="J50" s="161"/>
      <c r="K50" s="161"/>
    </row>
  </sheetData>
  <sheetProtection password="DA1F" sheet="1" objects="1" scenarios="1"/>
  <mergeCells count="51">
    <mergeCell ref="D41:K41"/>
    <mergeCell ref="D42:K42"/>
    <mergeCell ref="D43:K43"/>
    <mergeCell ref="D45:E45"/>
    <mergeCell ref="F45:H45"/>
    <mergeCell ref="D46:E46"/>
    <mergeCell ref="F46:H46"/>
    <mergeCell ref="F25:H25"/>
    <mergeCell ref="F26:H26"/>
    <mergeCell ref="F27:H27"/>
    <mergeCell ref="F28:H28"/>
    <mergeCell ref="D47:E47"/>
    <mergeCell ref="F47:H47"/>
    <mergeCell ref="D37:K37"/>
    <mergeCell ref="D38:K38"/>
    <mergeCell ref="D39:K39"/>
    <mergeCell ref="D40:K40"/>
    <mergeCell ref="D36:K36"/>
    <mergeCell ref="F22:K22"/>
    <mergeCell ref="D24:E24"/>
    <mergeCell ref="D25:E25"/>
    <mergeCell ref="D26:E26"/>
    <mergeCell ref="D27:E27"/>
    <mergeCell ref="D30:J32"/>
    <mergeCell ref="D34:K34"/>
    <mergeCell ref="D35:K35"/>
    <mergeCell ref="F24:H24"/>
    <mergeCell ref="D10:K10"/>
    <mergeCell ref="D12:G12"/>
    <mergeCell ref="H12:K12"/>
    <mergeCell ref="E13:G13"/>
    <mergeCell ref="I13:K13"/>
    <mergeCell ref="E15:G15"/>
    <mergeCell ref="I15:K15"/>
    <mergeCell ref="D1:K1"/>
    <mergeCell ref="D3:K3"/>
    <mergeCell ref="D5:K5"/>
    <mergeCell ref="D7:F7"/>
    <mergeCell ref="H7:I7"/>
    <mergeCell ref="D8:F8"/>
    <mergeCell ref="H8:I8"/>
    <mergeCell ref="E18:G18"/>
    <mergeCell ref="E19:G19"/>
    <mergeCell ref="E20:G20"/>
    <mergeCell ref="D28:E28"/>
    <mergeCell ref="E14:G14"/>
    <mergeCell ref="I14:K14"/>
    <mergeCell ref="E16:G16"/>
    <mergeCell ref="I16:K16"/>
    <mergeCell ref="E17:G17"/>
    <mergeCell ref="I17:K17"/>
  </mergeCells>
  <printOptions/>
  <pageMargins left="0.46" right="0.46" top="0.37" bottom="0.35" header="0.24" footer="0.2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70C0"/>
  </sheetPr>
  <dimension ref="A1:K49"/>
  <sheetViews>
    <sheetView showZeros="0" tabSelected="1" zoomScalePageLayoutView="0" workbookViewId="0" topLeftCell="A1">
      <selection activeCell="A1" sqref="A1"/>
    </sheetView>
  </sheetViews>
  <sheetFormatPr defaultColWidth="9.140625" defaultRowHeight="15"/>
  <cols>
    <col min="1" max="1" width="7.00390625" style="159" customWidth="1"/>
    <col min="2" max="2" width="11.00390625" style="160" customWidth="1"/>
    <col min="3" max="3" width="3.57421875" style="161" customWidth="1"/>
    <col min="4" max="6" width="9.00390625" style="161" customWidth="1"/>
    <col min="7" max="7" width="9.28125" style="161" bestFit="1" customWidth="1"/>
    <col min="8" max="16384" width="9.00390625" style="161" customWidth="1"/>
  </cols>
  <sheetData>
    <row r="1" spans="1:11" ht="19.5" customHeight="1">
      <c r="A1" s="162"/>
      <c r="B1" s="163" t="s">
        <v>140</v>
      </c>
      <c r="C1" s="164"/>
      <c r="D1" s="323" t="str">
        <f>'内容入力'!D32&amp;'内容入力'!H32</f>
        <v>実施要項</v>
      </c>
      <c r="E1" s="323"/>
      <c r="F1" s="323"/>
      <c r="G1" s="323"/>
      <c r="H1" s="323"/>
      <c r="I1" s="323"/>
      <c r="J1" s="323"/>
      <c r="K1" s="323"/>
    </row>
    <row r="2" spans="1:11" ht="19.5" customHeight="1">
      <c r="A2" s="165"/>
      <c r="B2" s="163"/>
      <c r="C2" s="164"/>
      <c r="D2" s="164"/>
      <c r="E2" s="164"/>
      <c r="F2" s="164"/>
      <c r="G2" s="164"/>
      <c r="H2" s="164"/>
      <c r="I2" s="164"/>
      <c r="J2" s="164"/>
      <c r="K2" s="164"/>
    </row>
    <row r="3" spans="1:11" ht="19.5" customHeight="1">
      <c r="A3" s="162">
        <v>1</v>
      </c>
      <c r="B3" s="163" t="s">
        <v>119</v>
      </c>
      <c r="C3" s="164"/>
      <c r="D3" s="324">
        <f>'内容入力'!D33</f>
        <v>0</v>
      </c>
      <c r="E3" s="324"/>
      <c r="F3" s="324"/>
      <c r="G3" s="324"/>
      <c r="H3" s="324"/>
      <c r="I3" s="324"/>
      <c r="J3" s="324"/>
      <c r="K3" s="324"/>
    </row>
    <row r="4" spans="1:11" ht="9" customHeight="1">
      <c r="A4" s="162"/>
      <c r="B4" s="163"/>
      <c r="C4" s="164"/>
      <c r="D4" s="164"/>
      <c r="E4" s="164"/>
      <c r="F4" s="164"/>
      <c r="G4" s="164"/>
      <c r="H4" s="164"/>
      <c r="I4" s="164"/>
      <c r="J4" s="164"/>
      <c r="K4" s="164"/>
    </row>
    <row r="5" spans="1:11" ht="19.5" customHeight="1">
      <c r="A5" s="162">
        <v>2</v>
      </c>
      <c r="B5" s="163" t="s">
        <v>120</v>
      </c>
      <c r="C5" s="164"/>
      <c r="D5" s="324">
        <f>'内容入力'!D34</f>
        <v>0</v>
      </c>
      <c r="E5" s="324"/>
      <c r="F5" s="324"/>
      <c r="G5" s="324"/>
      <c r="H5" s="324"/>
      <c r="I5" s="324"/>
      <c r="J5" s="324"/>
      <c r="K5" s="324"/>
    </row>
    <row r="6" spans="1:11" ht="9" customHeight="1">
      <c r="A6" s="162"/>
      <c r="B6" s="163"/>
      <c r="C6" s="164"/>
      <c r="D6" s="164"/>
      <c r="E6" s="164"/>
      <c r="F6" s="164"/>
      <c r="G6" s="164"/>
      <c r="H6" s="164"/>
      <c r="I6" s="164"/>
      <c r="J6" s="164"/>
      <c r="K6" s="164"/>
    </row>
    <row r="7" spans="1:11" ht="19.5" customHeight="1">
      <c r="A7" s="162">
        <v>3</v>
      </c>
      <c r="B7" s="163" t="s">
        <v>109</v>
      </c>
      <c r="C7" s="164"/>
      <c r="D7" s="320">
        <f>'内容入力'!D8</f>
        <v>0</v>
      </c>
      <c r="E7" s="320"/>
      <c r="F7" s="320"/>
      <c r="G7" s="164"/>
      <c r="H7" s="325">
        <f>'内容入力'!D10</f>
        <v>0</v>
      </c>
      <c r="I7" s="325"/>
      <c r="J7" s="162" t="s">
        <v>110</v>
      </c>
      <c r="K7" s="164"/>
    </row>
    <row r="8" spans="1:11" ht="19.5" customHeight="1">
      <c r="A8" s="162"/>
      <c r="B8" s="163"/>
      <c r="C8" s="164"/>
      <c r="D8" s="320">
        <f>IF('内容入力'!Q9=1,'内容入力'!D9,"")</f>
      </c>
      <c r="E8" s="320"/>
      <c r="F8" s="320"/>
      <c r="G8" s="164"/>
      <c r="H8" s="325">
        <f>IF('内容入力'!Q9=1,'内容入力'!D12,'内容入力'!D11)</f>
        <v>0</v>
      </c>
      <c r="I8" s="325"/>
      <c r="J8" s="162" t="s">
        <v>111</v>
      </c>
      <c r="K8" s="164"/>
    </row>
    <row r="9" spans="1:11" ht="9" customHeight="1">
      <c r="A9" s="162"/>
      <c r="B9" s="163"/>
      <c r="C9" s="164"/>
      <c r="D9" s="164"/>
      <c r="E9" s="164"/>
      <c r="F9" s="164"/>
      <c r="G9" s="164"/>
      <c r="H9" s="164"/>
      <c r="I9" s="164"/>
      <c r="J9" s="164"/>
      <c r="K9" s="164"/>
    </row>
    <row r="10" spans="1:11" ht="19.5" customHeight="1">
      <c r="A10" s="162">
        <v>4</v>
      </c>
      <c r="B10" s="163" t="s">
        <v>22</v>
      </c>
      <c r="C10" s="164"/>
      <c r="D10" s="324">
        <f>'内容入力'!D13</f>
        <v>0</v>
      </c>
      <c r="E10" s="324"/>
      <c r="F10" s="324"/>
      <c r="G10" s="324"/>
      <c r="H10" s="324"/>
      <c r="I10" s="324"/>
      <c r="J10" s="324"/>
      <c r="K10" s="324"/>
    </row>
    <row r="11" spans="1:11" ht="9" customHeight="1">
      <c r="A11" s="162"/>
      <c r="B11" s="163"/>
      <c r="C11" s="164"/>
      <c r="D11" s="164"/>
      <c r="E11" s="164"/>
      <c r="F11" s="164"/>
      <c r="G11" s="164"/>
      <c r="H11" s="164"/>
      <c r="I11" s="164"/>
      <c r="J11" s="164"/>
      <c r="K11" s="164"/>
    </row>
    <row r="12" spans="1:11" ht="18.75" customHeight="1">
      <c r="A12" s="162">
        <v>5</v>
      </c>
      <c r="B12" s="163" t="s">
        <v>113</v>
      </c>
      <c r="C12" s="164"/>
      <c r="D12" s="326">
        <f>'内容入力'!D8</f>
        <v>0</v>
      </c>
      <c r="E12" s="326"/>
      <c r="F12" s="326"/>
      <c r="G12" s="327"/>
      <c r="H12" s="341">
        <f>'内容入力'!D9</f>
        <v>0</v>
      </c>
      <c r="I12" s="326"/>
      <c r="J12" s="326"/>
      <c r="K12" s="326"/>
    </row>
    <row r="13" spans="1:11" ht="18.75" customHeight="1">
      <c r="A13" s="162"/>
      <c r="B13" s="163"/>
      <c r="C13" s="164"/>
      <c r="D13" s="166">
        <f>'内容入力'!D36</f>
        <v>0</v>
      </c>
      <c r="E13" s="319">
        <f>'内容入力'!F36</f>
        <v>0</v>
      </c>
      <c r="F13" s="319"/>
      <c r="G13" s="321"/>
      <c r="H13" s="187">
        <f>'内容入力'!D44</f>
        <v>0</v>
      </c>
      <c r="I13" s="319">
        <f>'内容入力'!F44</f>
        <v>0</v>
      </c>
      <c r="J13" s="319"/>
      <c r="K13" s="319"/>
    </row>
    <row r="14" spans="1:11" ht="18.75" customHeight="1">
      <c r="A14" s="162"/>
      <c r="B14" s="163"/>
      <c r="C14" s="164"/>
      <c r="D14" s="166">
        <f>'内容入力'!D37</f>
        <v>0</v>
      </c>
      <c r="E14" s="319">
        <f>'内容入力'!F37</f>
        <v>0</v>
      </c>
      <c r="F14" s="319"/>
      <c r="G14" s="321"/>
      <c r="H14" s="187">
        <f>'内容入力'!D45</f>
        <v>0</v>
      </c>
      <c r="I14" s="319">
        <f>'内容入力'!F45</f>
        <v>0</v>
      </c>
      <c r="J14" s="319"/>
      <c r="K14" s="319"/>
    </row>
    <row r="15" spans="1:11" ht="18.75" customHeight="1">
      <c r="A15" s="162"/>
      <c r="B15" s="163"/>
      <c r="C15" s="164"/>
      <c r="D15" s="166">
        <f>'内容入力'!D38</f>
        <v>0</v>
      </c>
      <c r="E15" s="319">
        <f>'内容入力'!F38</f>
        <v>0</v>
      </c>
      <c r="F15" s="319"/>
      <c r="G15" s="321"/>
      <c r="H15" s="187">
        <f>'内容入力'!D46</f>
        <v>0</v>
      </c>
      <c r="I15" s="319">
        <f>'内容入力'!F46</f>
        <v>0</v>
      </c>
      <c r="J15" s="319"/>
      <c r="K15" s="319"/>
    </row>
    <row r="16" spans="1:11" ht="18.75" customHeight="1">
      <c r="A16" s="162"/>
      <c r="B16" s="163"/>
      <c r="C16" s="164"/>
      <c r="D16" s="166">
        <f>'内容入力'!D39</f>
        <v>0</v>
      </c>
      <c r="E16" s="319">
        <f>'内容入力'!F39</f>
        <v>0</v>
      </c>
      <c r="F16" s="319"/>
      <c r="G16" s="321"/>
      <c r="H16" s="187">
        <f>'内容入力'!D47</f>
        <v>0</v>
      </c>
      <c r="I16" s="319">
        <f>'内容入力'!F47</f>
        <v>0</v>
      </c>
      <c r="J16" s="319"/>
      <c r="K16" s="319"/>
    </row>
    <row r="17" spans="1:11" ht="18.75" customHeight="1">
      <c r="A17" s="162"/>
      <c r="B17" s="163"/>
      <c r="C17" s="164"/>
      <c r="D17" s="166">
        <f>'内容入力'!D40</f>
        <v>0</v>
      </c>
      <c r="E17" s="319">
        <f>'内容入力'!F40</f>
        <v>0</v>
      </c>
      <c r="F17" s="319"/>
      <c r="G17" s="321"/>
      <c r="H17" s="187">
        <f>'内容入力'!D48</f>
        <v>0</v>
      </c>
      <c r="I17" s="319">
        <f>'内容入力'!F48</f>
        <v>0</v>
      </c>
      <c r="J17" s="319"/>
      <c r="K17" s="319"/>
    </row>
    <row r="18" spans="1:11" ht="18.75" customHeight="1">
      <c r="A18" s="162"/>
      <c r="B18" s="163"/>
      <c r="C18" s="164"/>
      <c r="D18" s="166">
        <f>'内容入力'!D41</f>
        <v>0</v>
      </c>
      <c r="E18" s="321">
        <f>'内容入力'!F41</f>
        <v>0</v>
      </c>
      <c r="F18" s="339"/>
      <c r="G18" s="340"/>
      <c r="H18" s="187">
        <f>'内容入力'!D49</f>
        <v>0</v>
      </c>
      <c r="I18" s="319">
        <f>'内容入力'!F49</f>
        <v>0</v>
      </c>
      <c r="J18" s="319"/>
      <c r="K18" s="319"/>
    </row>
    <row r="19" spans="1:11" ht="18.75" customHeight="1">
      <c r="A19" s="162"/>
      <c r="B19" s="163"/>
      <c r="C19" s="164"/>
      <c r="D19" s="166">
        <f>'内容入力'!D42</f>
        <v>0</v>
      </c>
      <c r="E19" s="321">
        <f>'内容入力'!F42</f>
        <v>0</v>
      </c>
      <c r="F19" s="339"/>
      <c r="G19" s="340"/>
      <c r="H19" s="187">
        <f>'内容入力'!D50</f>
        <v>0</v>
      </c>
      <c r="I19" s="319">
        <f>'内容入力'!F50</f>
        <v>0</v>
      </c>
      <c r="J19" s="319"/>
      <c r="K19" s="319"/>
    </row>
    <row r="20" spans="1:11" ht="18.75" customHeight="1">
      <c r="A20" s="162"/>
      <c r="B20" s="163"/>
      <c r="C20" s="164"/>
      <c r="D20" s="166">
        <f>'内容入力'!D43</f>
        <v>0</v>
      </c>
      <c r="E20" s="321">
        <f>'内容入力'!F43</f>
        <v>0</v>
      </c>
      <c r="F20" s="339"/>
      <c r="G20" s="340"/>
      <c r="H20" s="187">
        <f>'内容入力'!D51</f>
        <v>0</v>
      </c>
      <c r="I20" s="319">
        <f>'内容入力'!F51</f>
        <v>0</v>
      </c>
      <c r="J20" s="319"/>
      <c r="K20" s="319"/>
    </row>
    <row r="21" spans="1:11" ht="9" customHeight="1">
      <c r="A21" s="162"/>
      <c r="B21" s="163"/>
      <c r="C21" s="164"/>
      <c r="D21" s="168"/>
      <c r="E21" s="171"/>
      <c r="F21" s="171"/>
      <c r="G21" s="171"/>
      <c r="H21" s="168"/>
      <c r="I21" s="171"/>
      <c r="J21" s="171"/>
      <c r="K21" s="171"/>
    </row>
    <row r="22" spans="1:11" ht="19.5" customHeight="1">
      <c r="A22" s="162">
        <v>6</v>
      </c>
      <c r="B22" s="163" t="s">
        <v>139</v>
      </c>
      <c r="C22" s="164"/>
      <c r="D22" s="172">
        <f>'内容入力'!F17</f>
        <v>1000</v>
      </c>
      <c r="E22" s="173" t="str">
        <f>IF('内容入力'!D17="有料","円（","")</f>
        <v>円（</v>
      </c>
      <c r="F22" s="331" t="str">
        <f>IF('内容入力'!D17="有料",'内容入力'!D18&amp;"　）","")</f>
        <v>飲料代、保険料　）</v>
      </c>
      <c r="G22" s="331"/>
      <c r="H22" s="331"/>
      <c r="I22" s="331"/>
      <c r="J22" s="331"/>
      <c r="K22" s="331"/>
    </row>
    <row r="23" spans="1:11" ht="9" customHeight="1">
      <c r="A23" s="162"/>
      <c r="B23" s="163"/>
      <c r="C23" s="164"/>
      <c r="D23" s="164"/>
      <c r="E23" s="164"/>
      <c r="F23" s="164"/>
      <c r="G23" s="164"/>
      <c r="H23" s="164"/>
      <c r="I23" s="164"/>
      <c r="J23" s="164"/>
      <c r="K23" s="164"/>
    </row>
    <row r="24" spans="1:11" ht="19.5" customHeight="1">
      <c r="A24" s="162">
        <v>7</v>
      </c>
      <c r="B24" s="163" t="s">
        <v>117</v>
      </c>
      <c r="C24" s="164"/>
      <c r="D24" s="320" t="str">
        <f>'内容入力'!D19</f>
        <v>柴田尚生</v>
      </c>
      <c r="E24" s="320"/>
      <c r="F24" s="324" t="str">
        <f>IF('内容入力'!P19&gt;1,"（"&amp;'内容入力'!F19&amp;"）","")</f>
        <v>（和賀西中学校）</v>
      </c>
      <c r="G24" s="324"/>
      <c r="H24" s="324"/>
      <c r="I24" s="164"/>
      <c r="J24" s="164"/>
      <c r="K24" s="164"/>
    </row>
    <row r="25" spans="1:11" ht="19.5" customHeight="1">
      <c r="A25" s="162"/>
      <c r="B25" s="163"/>
      <c r="C25" s="164"/>
      <c r="D25" s="320">
        <f>'内容入力'!D20</f>
        <v>0</v>
      </c>
      <c r="E25" s="320"/>
      <c r="F25" s="324">
        <f>IF('内容入力'!P20&gt;1,"（"&amp;'内容入力'!F20&amp;"）","")</f>
      </c>
      <c r="G25" s="324"/>
      <c r="H25" s="324"/>
      <c r="I25" s="164"/>
      <c r="J25" s="164"/>
      <c r="K25" s="164"/>
    </row>
    <row r="26" spans="1:11" ht="19.5" customHeight="1">
      <c r="A26" s="162"/>
      <c r="B26" s="163"/>
      <c r="C26" s="164"/>
      <c r="D26" s="320">
        <f>'内容入力'!D21</f>
        <v>0</v>
      </c>
      <c r="E26" s="320"/>
      <c r="F26" s="324">
        <f>IF('内容入力'!P21&gt;1,"（"&amp;'内容入力'!F21&amp;"）","")</f>
      </c>
      <c r="G26" s="324"/>
      <c r="H26" s="324"/>
      <c r="I26" s="164"/>
      <c r="J26" s="164"/>
      <c r="K26" s="164"/>
    </row>
    <row r="27" spans="1:11" ht="19.5" customHeight="1">
      <c r="A27" s="162"/>
      <c r="B27" s="163"/>
      <c r="C27" s="164"/>
      <c r="D27" s="320">
        <f>'内容入力'!D22</f>
        <v>0</v>
      </c>
      <c r="E27" s="320"/>
      <c r="F27" s="324">
        <f>IF('内容入力'!P22&gt;1,"（"&amp;'内容入力'!F22&amp;"）","")</f>
      </c>
      <c r="G27" s="324"/>
      <c r="H27" s="324"/>
      <c r="I27" s="164"/>
      <c r="J27" s="164"/>
      <c r="K27" s="164"/>
    </row>
    <row r="28" spans="1:11" ht="19.5" customHeight="1">
      <c r="A28" s="162"/>
      <c r="B28" s="163"/>
      <c r="C28" s="164"/>
      <c r="D28" s="320">
        <f>'内容入力'!D23</f>
        <v>0</v>
      </c>
      <c r="E28" s="320"/>
      <c r="F28" s="324">
        <f>IF('内容入力'!P23&gt;1,"（"&amp;'内容入力'!F23&amp;"）","")</f>
      </c>
      <c r="G28" s="324"/>
      <c r="H28" s="324"/>
      <c r="I28" s="164"/>
      <c r="J28" s="164"/>
      <c r="K28" s="164"/>
    </row>
    <row r="29" spans="1:11" ht="9" customHeight="1">
      <c r="A29" s="162"/>
      <c r="B29" s="163"/>
      <c r="C29" s="164"/>
      <c r="D29" s="163"/>
      <c r="E29" s="163"/>
      <c r="F29" s="174"/>
      <c r="G29" s="174"/>
      <c r="H29" s="174"/>
      <c r="I29" s="164"/>
      <c r="J29" s="164"/>
      <c r="K29" s="164"/>
    </row>
    <row r="30" spans="1:11" ht="19.5" customHeight="1">
      <c r="A30" s="175">
        <v>8</v>
      </c>
      <c r="B30" s="176" t="s">
        <v>138</v>
      </c>
      <c r="C30" s="164"/>
      <c r="D30" s="332" t="str">
        <f>'内容入力'!D52</f>
        <v>スパイク、すね当て、ユニフォーム、サッカーパンツ（白）、ソックス（白）、1日目の昼食、タオル、雨具、着替え、洗面用具、サッカーノート、筆記用具、学習道具、参加費、承諾書、保険証のコピー洗、濯用ネット、常備薬等必要なもの</v>
      </c>
      <c r="E30" s="332"/>
      <c r="F30" s="332"/>
      <c r="G30" s="332"/>
      <c r="H30" s="332"/>
      <c r="I30" s="332"/>
      <c r="J30" s="332"/>
      <c r="K30" s="177"/>
    </row>
    <row r="31" spans="1:11" ht="19.5" customHeight="1">
      <c r="A31" s="162"/>
      <c r="B31" s="163"/>
      <c r="C31" s="164"/>
      <c r="D31" s="332"/>
      <c r="E31" s="332"/>
      <c r="F31" s="332"/>
      <c r="G31" s="332"/>
      <c r="H31" s="332"/>
      <c r="I31" s="332"/>
      <c r="J31" s="332"/>
      <c r="K31" s="177"/>
    </row>
    <row r="32" spans="1:11" ht="19.5" customHeight="1">
      <c r="A32" s="162"/>
      <c r="B32" s="163"/>
      <c r="C32" s="164"/>
      <c r="D32" s="332"/>
      <c r="E32" s="332"/>
      <c r="F32" s="332"/>
      <c r="G32" s="332"/>
      <c r="H32" s="332"/>
      <c r="I32" s="332"/>
      <c r="J32" s="332"/>
      <c r="K32" s="177"/>
    </row>
    <row r="33" spans="1:11" ht="9.75" customHeight="1">
      <c r="A33" s="162"/>
      <c r="B33" s="163"/>
      <c r="C33" s="164"/>
      <c r="D33" s="164"/>
      <c r="E33" s="164"/>
      <c r="F33" s="164"/>
      <c r="G33" s="164"/>
      <c r="H33" s="164"/>
      <c r="I33" s="164"/>
      <c r="J33" s="164"/>
      <c r="K33" s="164"/>
    </row>
    <row r="34" spans="1:11" ht="19.5" customHeight="1">
      <c r="A34" s="162">
        <v>9</v>
      </c>
      <c r="B34" s="163" t="s">
        <v>118</v>
      </c>
      <c r="C34" s="178"/>
      <c r="D34" s="330" t="str">
        <f>IF('内容入力'!P53&gt;5,'内容入力'!D53&amp;'内容入力'!F53,0)</f>
        <v>①　トレーニングしっかりとした上で、コンディションを整えて参加すること。</v>
      </c>
      <c r="E34" s="330"/>
      <c r="F34" s="330"/>
      <c r="G34" s="330"/>
      <c r="H34" s="330"/>
      <c r="I34" s="330"/>
      <c r="J34" s="330"/>
      <c r="K34" s="330"/>
    </row>
    <row r="35" spans="1:11" ht="19.5" customHeight="1">
      <c r="A35" s="162"/>
      <c r="B35" s="163"/>
      <c r="C35" s="178"/>
      <c r="D35" s="330" t="str">
        <f>IF('内容入力'!P54&gt;5,'内容入力'!D54&amp;'内容入力'!F54,0)</f>
        <v>②　けがをして参加できなくなった場合は速やかに連絡責任者に申し出ること。</v>
      </c>
      <c r="E35" s="330"/>
      <c r="F35" s="330"/>
      <c r="G35" s="330"/>
      <c r="H35" s="330"/>
      <c r="I35" s="330"/>
      <c r="J35" s="330"/>
      <c r="K35" s="330"/>
    </row>
    <row r="36" spans="1:11" ht="19.5" customHeight="1">
      <c r="A36" s="162"/>
      <c r="B36" s="163"/>
      <c r="C36" s="178"/>
      <c r="D36" s="330" t="str">
        <f>IF('内容入力'!P55&gt;5,'内容入力'!D55&amp;'内容入力'!F55,0)</f>
        <v>③　天候や相手チームの状況により、会場や試合時間が変更になる場合があります。</v>
      </c>
      <c r="E36" s="330"/>
      <c r="F36" s="330"/>
      <c r="G36" s="330"/>
      <c r="H36" s="330"/>
      <c r="I36" s="330"/>
      <c r="J36" s="330"/>
      <c r="K36" s="330"/>
    </row>
    <row r="37" spans="1:11" ht="19.5" customHeight="1">
      <c r="A37" s="162"/>
      <c r="B37" s="163"/>
      <c r="C37" s="178"/>
      <c r="D37" s="330" t="str">
        <f>IF('内容入力'!P56&gt;5,'内容入力'!D56&amp;'内容入力'!F56,"")</f>
        <v>④　現地でのあいさつや礼儀など、行動のマナーには十分留意すること。</v>
      </c>
      <c r="E37" s="330"/>
      <c r="F37" s="330"/>
      <c r="G37" s="330"/>
      <c r="H37" s="330"/>
      <c r="I37" s="330"/>
      <c r="J37" s="330"/>
      <c r="K37" s="330"/>
    </row>
    <row r="38" spans="1:11" ht="19.5" customHeight="1">
      <c r="A38" s="162"/>
      <c r="B38" s="163"/>
      <c r="C38" s="178"/>
      <c r="D38" s="330" t="str">
        <f>IF('内容入力'!P57&gt;5,'内容入力'!D57&amp;'内容入力'!F57,"")</f>
        <v>⑤　試合では、県トレセンへの推薦選手を選考します。高い意識を持ち、参加すること。</v>
      </c>
      <c r="E38" s="330"/>
      <c r="F38" s="330"/>
      <c r="G38" s="330"/>
      <c r="H38" s="330"/>
      <c r="I38" s="330"/>
      <c r="J38" s="330"/>
      <c r="K38" s="330"/>
    </row>
    <row r="39" spans="1:11" ht="19.5" customHeight="1">
      <c r="A39" s="162"/>
      <c r="B39" s="163"/>
      <c r="C39" s="178"/>
      <c r="D39" s="330">
        <f>IF('内容入力'!P58&gt;5,'内容入力'!D58&amp;'内容入力'!F58,"")</f>
      </c>
      <c r="E39" s="330"/>
      <c r="F39" s="330"/>
      <c r="G39" s="330"/>
      <c r="H39" s="330"/>
      <c r="I39" s="330"/>
      <c r="J39" s="330"/>
      <c r="K39" s="330"/>
    </row>
    <row r="40" spans="1:11" ht="19.5" customHeight="1">
      <c r="A40" s="162"/>
      <c r="B40" s="163"/>
      <c r="C40" s="178"/>
      <c r="D40" s="330">
        <f>IF('内容入力'!P59&gt;5,'内容入力'!D59&amp;'内容入力'!F59,"")</f>
      </c>
      <c r="E40" s="330"/>
      <c r="F40" s="330"/>
      <c r="G40" s="330"/>
      <c r="H40" s="330"/>
      <c r="I40" s="330"/>
      <c r="J40" s="330"/>
      <c r="K40" s="330"/>
    </row>
    <row r="41" spans="1:11" ht="19.5" customHeight="1">
      <c r="A41" s="162"/>
      <c r="B41" s="163"/>
      <c r="C41" s="164"/>
      <c r="D41" s="330">
        <f>IF('内容入力'!P60&gt;5,'内容入力'!D60&amp;'内容入力'!F60,"")</f>
      </c>
      <c r="E41" s="330"/>
      <c r="F41" s="330"/>
      <c r="G41" s="330"/>
      <c r="H41" s="330"/>
      <c r="I41" s="330"/>
      <c r="J41" s="330"/>
      <c r="K41" s="330"/>
    </row>
    <row r="42" spans="1:11" ht="19.5" customHeight="1">
      <c r="A42" s="162"/>
      <c r="B42" s="163"/>
      <c r="C42" s="164"/>
      <c r="D42" s="330">
        <f>IF('内容入力'!P61&gt;5,'内容入力'!D61&amp;'内容入力'!F61,"")</f>
      </c>
      <c r="E42" s="330"/>
      <c r="F42" s="330"/>
      <c r="G42" s="330"/>
      <c r="H42" s="330"/>
      <c r="I42" s="330"/>
      <c r="J42" s="330"/>
      <c r="K42" s="330"/>
    </row>
    <row r="43" spans="1:11" ht="19.5" customHeight="1">
      <c r="A43" s="162"/>
      <c r="B43" s="163"/>
      <c r="C43" s="164"/>
      <c r="D43" s="330">
        <f>IF('内容入力'!P62&gt;5,'内容入力'!D62&amp;'内容入力'!F62,"")</f>
      </c>
      <c r="E43" s="330"/>
      <c r="F43" s="330"/>
      <c r="G43" s="330"/>
      <c r="H43" s="330"/>
      <c r="I43" s="330"/>
      <c r="J43" s="330"/>
      <c r="K43" s="330"/>
    </row>
    <row r="44" spans="1:11" ht="9" customHeight="1">
      <c r="A44" s="162"/>
      <c r="B44" s="163"/>
      <c r="C44" s="164"/>
      <c r="D44" s="179"/>
      <c r="E44" s="179"/>
      <c r="F44" s="179"/>
      <c r="G44" s="179"/>
      <c r="H44" s="179"/>
      <c r="I44" s="179"/>
      <c r="J44" s="179"/>
      <c r="K44" s="179"/>
    </row>
    <row r="45" spans="1:11" ht="18.75" customHeight="1">
      <c r="A45" s="162">
        <v>10</v>
      </c>
      <c r="B45" s="163" t="s">
        <v>133</v>
      </c>
      <c r="C45" s="164"/>
      <c r="D45" s="336">
        <f>'内容入力'!D24</f>
        <v>0</v>
      </c>
      <c r="E45" s="337"/>
      <c r="F45" s="338" t="str">
        <f>'内容入力'!N25&amp;'内容入力'!D25&amp;'内容入力'!O25</f>
        <v>(　　)</v>
      </c>
      <c r="G45" s="338"/>
      <c r="H45" s="338"/>
      <c r="I45" s="180"/>
      <c r="J45" s="164"/>
      <c r="K45" s="164"/>
    </row>
    <row r="46" spans="1:11" ht="18.75" customHeight="1">
      <c r="A46" s="162"/>
      <c r="B46" s="163"/>
      <c r="C46" s="164"/>
      <c r="D46" s="333" t="str">
        <f>'内容入力'!B26&amp;'内容入力'!N26</f>
        <v>職場　：</v>
      </c>
      <c r="E46" s="334"/>
      <c r="F46" s="335">
        <f>'内容入力'!D26</f>
        <v>0</v>
      </c>
      <c r="G46" s="335"/>
      <c r="H46" s="335"/>
      <c r="I46" s="181"/>
      <c r="J46" s="164"/>
      <c r="K46" s="164"/>
    </row>
    <row r="47" spans="1:11" ht="18.75" customHeight="1">
      <c r="A47" s="162"/>
      <c r="B47" s="163"/>
      <c r="C47" s="164"/>
      <c r="D47" s="333" t="str">
        <f>'内容入力'!B27&amp;'内容入力'!N27</f>
        <v>携帯電話　：</v>
      </c>
      <c r="E47" s="334"/>
      <c r="F47" s="335">
        <f>'内容入力'!D27</f>
        <v>0</v>
      </c>
      <c r="G47" s="335"/>
      <c r="H47" s="335"/>
      <c r="I47" s="182"/>
      <c r="J47" s="164"/>
      <c r="K47" s="164"/>
    </row>
    <row r="48" spans="1:11" ht="18.75" customHeight="1">
      <c r="A48" s="162"/>
      <c r="B48" s="163"/>
      <c r="C48" s="164"/>
      <c r="D48" s="183"/>
      <c r="E48" s="184"/>
      <c r="F48" s="185"/>
      <c r="G48" s="185"/>
      <c r="H48" s="185"/>
      <c r="I48" s="186"/>
      <c r="J48" s="164"/>
      <c r="K48" s="164"/>
    </row>
    <row r="49" spans="1:11" ht="19.5" customHeight="1">
      <c r="A49" s="162"/>
      <c r="B49" s="163"/>
      <c r="C49" s="164"/>
      <c r="D49" s="164"/>
      <c r="E49" s="164"/>
      <c r="F49" s="164"/>
      <c r="G49" s="164"/>
      <c r="H49" s="164"/>
      <c r="I49" s="164"/>
      <c r="J49" s="164"/>
      <c r="K49" s="164"/>
    </row>
    <row r="50" ht="19.5" customHeight="1"/>
  </sheetData>
  <sheetProtection password="DA1F" sheet="1" objects="1" scenarios="1"/>
  <mergeCells count="54">
    <mergeCell ref="F27:H27"/>
    <mergeCell ref="F28:H28"/>
    <mergeCell ref="E13:G13"/>
    <mergeCell ref="D27:E27"/>
    <mergeCell ref="D28:E28"/>
    <mergeCell ref="E15:G15"/>
    <mergeCell ref="I15:K15"/>
    <mergeCell ref="D12:G12"/>
    <mergeCell ref="F24:H24"/>
    <mergeCell ref="F25:H25"/>
    <mergeCell ref="F26:H26"/>
    <mergeCell ref="E16:G16"/>
    <mergeCell ref="D7:F7"/>
    <mergeCell ref="H7:I7"/>
    <mergeCell ref="H8:I8"/>
    <mergeCell ref="D8:F8"/>
    <mergeCell ref="H12:K12"/>
    <mergeCell ref="D10:K10"/>
    <mergeCell ref="I13:K13"/>
    <mergeCell ref="E14:G14"/>
    <mergeCell ref="I14:K14"/>
    <mergeCell ref="E17:G17"/>
    <mergeCell ref="I17:K17"/>
    <mergeCell ref="E19:G19"/>
    <mergeCell ref="I19:K19"/>
    <mergeCell ref="I18:K18"/>
    <mergeCell ref="E18:G18"/>
    <mergeCell ref="D34:K34"/>
    <mergeCell ref="F45:H45"/>
    <mergeCell ref="F47:H47"/>
    <mergeCell ref="F46:H46"/>
    <mergeCell ref="D46:E46"/>
    <mergeCell ref="D47:E47"/>
    <mergeCell ref="D45:E45"/>
    <mergeCell ref="D30:J32"/>
    <mergeCell ref="D43:K43"/>
    <mergeCell ref="D42:K42"/>
    <mergeCell ref="D41:K41"/>
    <mergeCell ref="D40:K40"/>
    <mergeCell ref="D39:K39"/>
    <mergeCell ref="D38:K38"/>
    <mergeCell ref="D37:K37"/>
    <mergeCell ref="D36:K36"/>
    <mergeCell ref="D35:K35"/>
    <mergeCell ref="D1:K1"/>
    <mergeCell ref="D3:K3"/>
    <mergeCell ref="D5:K5"/>
    <mergeCell ref="D25:E25"/>
    <mergeCell ref="D26:E26"/>
    <mergeCell ref="E20:G20"/>
    <mergeCell ref="I20:K20"/>
    <mergeCell ref="D24:E24"/>
    <mergeCell ref="F22:K22"/>
    <mergeCell ref="I16:K16"/>
  </mergeCells>
  <printOptions/>
  <pageMargins left="0.46" right="0.46" top="0.48" bottom="0.48"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柴田尚生</dc:creator>
  <cp:keywords/>
  <dc:description/>
  <cp:lastModifiedBy>FJ-USER</cp:lastModifiedBy>
  <cp:lastPrinted>2011-07-24T13:50:36Z</cp:lastPrinted>
  <dcterms:created xsi:type="dcterms:W3CDTF">2011-01-13T13:10:51Z</dcterms:created>
  <dcterms:modified xsi:type="dcterms:W3CDTF">2011-07-25T09:17:17Z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